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90" yWindow="65526" windowWidth="6610" windowHeight="7540" tabRatio="892" activeTab="0"/>
  </bookViews>
  <sheets>
    <sheet name="Bilance" sheetId="1" r:id="rId1"/>
    <sheet name="1.3 Fix" sheetId="2" r:id="rId2"/>
    <sheet name="SIMS_2017" sheetId="3" r:id="rId3"/>
    <sheet name="SIMS_2018" sheetId="4" r:id="rId4"/>
    <sheet name="SIMS_2019" sheetId="5" r:id="rId5"/>
    <sheet name="1.4 Parametry MŠMT" sheetId="6" r:id="rId6"/>
    <sheet name="1.4 Pokles za 2 roky" sheetId="7" r:id="rId7"/>
    <sheet name="1.5.a) RUV" sheetId="8" r:id="rId8"/>
    <sheet name="1.5.b) Výkon váhy" sheetId="9" r:id="rId9"/>
    <sheet name="1.5 Výkon celkem" sheetId="10" r:id="rId10"/>
    <sheet name="1 Příspěvek na vzdělávání" sheetId="11" r:id="rId11"/>
    <sheet name="2 Podpora vědy" sheetId="12" r:id="rId12"/>
    <sheet name="3 SVV" sheetId="13" r:id="rId13"/>
    <sheet name="4.4. Nemovitosti" sheetId="14" r:id="rId14"/>
    <sheet name="4.5.a) Projekty" sheetId="15" r:id="rId15"/>
    <sheet name="4.5.b) Velké infrastruktury" sheetId="16" r:id="rId16"/>
    <sheet name="4.5 Rozvoj" sheetId="17" r:id="rId17"/>
    <sheet name="4.6 RUK" sheetId="18" r:id="rId18"/>
    <sheet name="5 Koheze" sheetId="19" r:id="rId19"/>
    <sheet name="Stravování" sheetId="20" r:id="rId20"/>
    <sheet name="Sumář" sheetId="21" r:id="rId21"/>
    <sheet name="Porovnání s r-1 (částky a)" sheetId="22" r:id="rId22"/>
    <sheet name="Porovnání s r-1 (částky b)" sheetId="23" r:id="rId23"/>
    <sheet name="Porovnání s r-1 (podíly)" sheetId="24" r:id="rId24"/>
  </sheets>
  <externalReferences>
    <externalReference r:id="rId27"/>
  </externalReferences>
  <definedNames>
    <definedName name="_xlnm._FilterDatabase" localSheetId="2" hidden="1">'SIMS_2017'!$A$12:$M$717</definedName>
    <definedName name="_xlnm._FilterDatabase" localSheetId="3" hidden="1">'SIMS_2018'!$A$12:$B$720</definedName>
    <definedName name="_xlnm._FilterDatabase" localSheetId="4" hidden="1">'SIMS_2019'!$A$12:$M$953</definedName>
    <definedName name="_xlfn.COUNTIFS" hidden="1">#NAME?</definedName>
    <definedName name="_xlfn.SUMIFS" hidden="1">#NAME?</definedName>
    <definedName name="_xlfn_COUNTIFS">NA()</definedName>
    <definedName name="_xlfn_SUMIFS">NA()</definedName>
    <definedName name="Excel_BuiltIn_Print_Area_23_1">NA()</definedName>
    <definedName name="Excel_BuiltIn_Print_Area_8_1">#REF!</definedName>
    <definedName name="Excel_BuiltIn_Print_Titles_8_1">'2 Podpora vědy'!$A$4:$IK$4</definedName>
    <definedName name="nazev1">#REF!</definedName>
    <definedName name="_xlnm.Print_Titles" localSheetId="8">'1.5.b) Výkon váhy'!$A:$B,'1.5.b) Výkon váhy'!$4:$7</definedName>
    <definedName name="_xlnm.Print_Area" localSheetId="10">'1 Příspěvek na vzdělávání'!$A$3:$E$37</definedName>
    <definedName name="_xlnm.Print_Area" localSheetId="1">'1.3 Fix'!$A$1:$P$31</definedName>
    <definedName name="_xlnm.Print_Area" localSheetId="6">'1.4 Pokles za 2 roky'!$A$1:$L$28</definedName>
    <definedName name="_xlnm.Print_Area" localSheetId="9">'1.5 Výkon celkem'!$A$2:$E$22</definedName>
    <definedName name="_xlnm.Print_Area" localSheetId="7">'1.5.a) RUV'!$A$1:$H$41</definedName>
    <definedName name="_xlnm.Print_Area" localSheetId="8">'1.5.b) Výkon váhy'!$A$1:$AO$105</definedName>
    <definedName name="_xlnm.Print_Area" localSheetId="11">'2 Podpora vědy'!$A$1:$F$45</definedName>
    <definedName name="_xlnm.Print_Area" localSheetId="12">'3 SVV'!$A$3:$C$37</definedName>
    <definedName name="_xlnm.Print_Area" localSheetId="13">'4.4. Nemovitosti'!$A$3:$N$46</definedName>
    <definedName name="_xlnm.Print_Area" localSheetId="16">'4.5 Rozvoj'!$A$3:$I$48</definedName>
    <definedName name="_xlnm.Print_Area" localSheetId="14">'4.5.a) Projekty'!$A$3:$E$57</definedName>
    <definedName name="_xlnm.Print_Area" localSheetId="15">'4.5.b) Velké infrastruktury'!$A$2:$S$60</definedName>
    <definedName name="_xlnm.Print_Area" localSheetId="17">'4.6 RUK'!$A$3:$E$37</definedName>
    <definedName name="_xlnm.Print_Area" localSheetId="18">'5 Koheze'!$A$3:$N$37</definedName>
    <definedName name="_xlnm.Print_Area" localSheetId="0">'Bilance'!$A$1:$F$88</definedName>
    <definedName name="_xlnm.Print_Area" localSheetId="21">'Porovnání s r-1 (částky a)'!$A$2:$W$37</definedName>
    <definedName name="_xlnm.Print_Area" localSheetId="22">'Porovnání s r-1 (částky b)'!$A$2:$X$37</definedName>
    <definedName name="_xlnm.Print_Area" localSheetId="23">'Porovnání s r-1 (podíly)'!$A$2:$W$37</definedName>
    <definedName name="_xlnm.Print_Area" localSheetId="2">'SIMS_2017'!$A$1:$M$48</definedName>
    <definedName name="_xlnm.Print_Area" localSheetId="3">'SIMS_2018'!$A$1:$M$30</definedName>
    <definedName name="_xlnm.Print_Area" localSheetId="4">'SIMS_2019'!$A$1:$M$33</definedName>
    <definedName name="_xlnm.Print_Area" localSheetId="19">'Stravování'!$A$1:$K$13</definedName>
    <definedName name="_xlnm.Print_Area" localSheetId="20">'Sumář'!$A$3:$O$37</definedName>
  </definedNames>
  <calcPr fullCalcOnLoad="1"/>
</workbook>
</file>

<file path=xl/comments12.xml><?xml version="1.0" encoding="utf-8"?>
<comments xmlns="http://schemas.openxmlformats.org/spreadsheetml/2006/main">
  <authors>
    <author>Hochmann Libor</author>
  </authors>
  <commentList>
    <comment ref="U5" authorId="0">
      <text>
        <r>
          <rPr>
            <b/>
            <sz val="9"/>
            <rFont val="Tahoma"/>
            <family val="2"/>
          </rPr>
          <t>LH</t>
        </r>
        <r>
          <rPr>
            <sz val="9"/>
            <rFont val="Tahoma"/>
            <family val="2"/>
          </rPr>
          <t xml:space="preserve">
viz mail Mgr. Maňáska z 30.1.2020 v 09,55h (RIV v 2019 nebude, resp. je stejný jako RIV 2018, možno zkopírovat, pochopil-li jsem správně...)</t>
        </r>
      </text>
    </comment>
  </commentList>
</comments>
</file>

<file path=xl/comments14.xml><?xml version="1.0" encoding="utf-8"?>
<comments xmlns="http://schemas.openxmlformats.org/spreadsheetml/2006/main">
  <authors>
    <author>Hochmann Libor</author>
  </authors>
  <commentList>
    <comment ref="C13" authorId="0">
      <text>
        <r>
          <rPr>
            <sz val="9"/>
            <rFont val="Tahoma"/>
            <family val="2"/>
          </rPr>
          <t>přičtena 1/2 odpisů za MEPHARED 1 (viz LFHK)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sz val="9"/>
            <rFont val="Tahoma"/>
            <family val="2"/>
          </rPr>
          <t xml:space="preserve">Odečtena 1/2 odpisů za MEPHARED 1
</t>
        </r>
      </text>
    </comment>
    <comment ref="C15" authorId="0">
      <text>
        <r>
          <rPr>
            <sz val="9"/>
            <rFont val="Tahoma"/>
            <family val="2"/>
          </rPr>
          <t xml:space="preserve">k odpisům Př.fa přičten BIOCEV celkem a odečten podíl odpisů 1.LF
</t>
        </r>
      </text>
    </comment>
    <comment ref="C8" authorId="0">
      <text>
        <r>
          <rPr>
            <sz val="9"/>
            <rFont val="Tahoma"/>
            <family val="2"/>
          </rPr>
          <t xml:space="preserve">přičten podíl odpisů 1.LF z BIOCEV od Př.fa
</t>
        </r>
      </text>
    </comment>
    <comment ref="E12" authorId="0">
      <text>
        <r>
          <rPr>
            <sz val="9"/>
            <rFont val="Tahoma"/>
            <family val="2"/>
          </rPr>
          <t>odečtena 1/2 MEPHAREDu</t>
        </r>
      </text>
    </comment>
    <comment ref="E13" authorId="0">
      <text>
        <r>
          <rPr>
            <sz val="9"/>
            <rFont val="Tahoma"/>
            <family val="2"/>
          </rPr>
          <t>přičtena 1/2 MEPHAREDu</t>
        </r>
      </text>
    </comment>
  </commentList>
</comments>
</file>

<file path=xl/comments20.xml><?xml version="1.0" encoding="utf-8"?>
<comments xmlns="http://schemas.openxmlformats.org/spreadsheetml/2006/main">
  <authors>
    <author>jj</author>
  </authors>
  <commentList>
    <comment ref="K8" authorId="0">
      <text>
        <r>
          <rPr>
            <b/>
            <sz val="9"/>
            <color indexed="8"/>
            <rFont val="Times New Roman"/>
            <family val="1"/>
          </rPr>
          <t xml:space="preserve">rozdíl ze zaokrouhlení  přířazen ke KaM
</t>
        </r>
      </text>
    </comment>
  </commentList>
</comments>
</file>

<file path=xl/comments22.xml><?xml version="1.0" encoding="utf-8"?>
<comments xmlns="http://schemas.openxmlformats.org/spreadsheetml/2006/main">
  <authors>
    <author>PŠ</author>
  </authors>
  <commentList>
    <comment ref="H3" authorId="0">
      <text>
        <r>
          <rPr>
            <b/>
            <sz val="9"/>
            <rFont val="Tahoma"/>
            <family val="2"/>
          </rPr>
          <t>PŠ:</t>
        </r>
        <r>
          <rPr>
            <sz val="9"/>
            <rFont val="Tahoma"/>
            <family val="2"/>
          </rPr>
          <t xml:space="preserve">
Bez bonifikací.</t>
        </r>
      </text>
    </comment>
  </commentList>
</comments>
</file>

<file path=xl/comments23.xml><?xml version="1.0" encoding="utf-8"?>
<comments xmlns="http://schemas.openxmlformats.org/spreadsheetml/2006/main">
  <authors>
    <author>PŠ</author>
  </authors>
  <commentList>
    <comment ref="H3" authorId="0">
      <text>
        <r>
          <rPr>
            <b/>
            <sz val="9"/>
            <rFont val="Tahoma"/>
            <family val="2"/>
          </rPr>
          <t>PŠ:</t>
        </r>
        <r>
          <rPr>
            <sz val="9"/>
            <rFont val="Tahoma"/>
            <family val="2"/>
          </rPr>
          <t xml:space="preserve">
Bez bonifikací.</t>
        </r>
      </text>
    </comment>
  </commentList>
</comments>
</file>

<file path=xl/comments24.xml><?xml version="1.0" encoding="utf-8"?>
<comments xmlns="http://schemas.openxmlformats.org/spreadsheetml/2006/main">
  <authors>
    <author>PŠ</author>
  </authors>
  <commentList>
    <comment ref="H3" authorId="0">
      <text>
        <r>
          <rPr>
            <b/>
            <sz val="9"/>
            <rFont val="Tahoma"/>
            <family val="2"/>
          </rPr>
          <t>PŠ:</t>
        </r>
        <r>
          <rPr>
            <sz val="9"/>
            <rFont val="Tahoma"/>
            <family val="2"/>
          </rPr>
          <t xml:space="preserve">
Bez bonifikací.</t>
        </r>
      </text>
    </comment>
  </commentList>
</comments>
</file>

<file path=xl/sharedStrings.xml><?xml version="1.0" encoding="utf-8"?>
<sst xmlns="http://schemas.openxmlformats.org/spreadsheetml/2006/main" count="10736" uniqueCount="1310">
  <si>
    <t>Položka</t>
  </si>
  <si>
    <t>odkazy na Principy</t>
  </si>
  <si>
    <t>Specifický vysokoškolský výzkum (SVV) z MŠMT</t>
  </si>
  <si>
    <t>CELKEM</t>
  </si>
  <si>
    <t>Zdroje na činnost rektorátu a dalších součástí</t>
  </si>
  <si>
    <t>Celkem</t>
  </si>
  <si>
    <t>K rozpisu:</t>
  </si>
  <si>
    <t>Příspěvek na vzdělávací činnost</t>
  </si>
  <si>
    <t>1.LF</t>
  </si>
  <si>
    <t>M5103</t>
  </si>
  <si>
    <t>Všeobecné lékařství</t>
  </si>
  <si>
    <t>M5111</t>
  </si>
  <si>
    <t>Zubní lékařství</t>
  </si>
  <si>
    <t>P5105</t>
  </si>
  <si>
    <t>Experimentální chirurgie</t>
  </si>
  <si>
    <t>P5106</t>
  </si>
  <si>
    <t>Fyziologie a patofyziologie člověka</t>
  </si>
  <si>
    <t>P5345</t>
  </si>
  <si>
    <t>Specializace ve zdravotnictví</t>
  </si>
  <si>
    <t>P7701</t>
  </si>
  <si>
    <t>Psychologie</t>
  </si>
  <si>
    <t>3.LF</t>
  </si>
  <si>
    <t>2.LF</t>
  </si>
  <si>
    <t>LFPl</t>
  </si>
  <si>
    <t>LFHK</t>
  </si>
  <si>
    <t>P5112</t>
  </si>
  <si>
    <t>Anatomie, histologie a embryologie</t>
  </si>
  <si>
    <t>P5116</t>
  </si>
  <si>
    <t>Chirurgie</t>
  </si>
  <si>
    <t>P5129</t>
  </si>
  <si>
    <t>Vnitřní nemoci</t>
  </si>
  <si>
    <t>FaF</t>
  </si>
  <si>
    <t>M5206</t>
  </si>
  <si>
    <t>Farmacie</t>
  </si>
  <si>
    <t>P5206</t>
  </si>
  <si>
    <t>P5207</t>
  </si>
  <si>
    <t>Zdravotnická bioanalytika</t>
  </si>
  <si>
    <t>FF</t>
  </si>
  <si>
    <t>N7105</t>
  </si>
  <si>
    <t>Historické vědy</t>
  </si>
  <si>
    <t>N7310</t>
  </si>
  <si>
    <t>Filologie</t>
  </si>
  <si>
    <t>PF</t>
  </si>
  <si>
    <t>P6801</t>
  </si>
  <si>
    <t>Teoretické právní vědy</t>
  </si>
  <si>
    <t>FSV</t>
  </si>
  <si>
    <t>B6201</t>
  </si>
  <si>
    <t>Ekonomické teorie</t>
  </si>
  <si>
    <t>N6201</t>
  </si>
  <si>
    <t>N6701</t>
  </si>
  <si>
    <t>Politologie</t>
  </si>
  <si>
    <t>N6702</t>
  </si>
  <si>
    <t>Mezinárodní teritoriální studia</t>
  </si>
  <si>
    <t>N6703</t>
  </si>
  <si>
    <t>Sociologie</t>
  </si>
  <si>
    <t>P6201</t>
  </si>
  <si>
    <t>P6701</t>
  </si>
  <si>
    <t>P6703</t>
  </si>
  <si>
    <t>FHS</t>
  </si>
  <si>
    <t>B6107</t>
  </si>
  <si>
    <t>Humanitní studia</t>
  </si>
  <si>
    <t>N6101</t>
  </si>
  <si>
    <t>Filozofie</t>
  </si>
  <si>
    <t>N6107</t>
  </si>
  <si>
    <t>P1602</t>
  </si>
  <si>
    <t>Environmentální studia</t>
  </si>
  <si>
    <t>P6101</t>
  </si>
  <si>
    <t>P6107</t>
  </si>
  <si>
    <t>ETF</t>
  </si>
  <si>
    <t>B6141</t>
  </si>
  <si>
    <t>Teologie</t>
  </si>
  <si>
    <t>P6141</t>
  </si>
  <si>
    <t>PřF</t>
  </si>
  <si>
    <t>P1303</t>
  </si>
  <si>
    <t>Demografie</t>
  </si>
  <si>
    <t>P1510</t>
  </si>
  <si>
    <t>Mikrobiologie</t>
  </si>
  <si>
    <t>P1519</t>
  </si>
  <si>
    <t>Molekulární a buněčná biologie, genetika a virologie</t>
  </si>
  <si>
    <t>P1524</t>
  </si>
  <si>
    <t>Anatomie a fyziologie rostlin</t>
  </si>
  <si>
    <t>MFF</t>
  </si>
  <si>
    <t>B1801</t>
  </si>
  <si>
    <t>Informatika</t>
  </si>
  <si>
    <t>N1101</t>
  </si>
  <si>
    <t>Matematika</t>
  </si>
  <si>
    <t>N1801</t>
  </si>
  <si>
    <t>PedF</t>
  </si>
  <si>
    <t>B7507</t>
  </si>
  <si>
    <t>Specializace v pedagogice</t>
  </si>
  <si>
    <t>N7504</t>
  </si>
  <si>
    <t>Učitelství pro střední školy</t>
  </si>
  <si>
    <t>P7501</t>
  </si>
  <si>
    <t>Pedagogika</t>
  </si>
  <si>
    <t>FTVS</t>
  </si>
  <si>
    <t>B5345</t>
  </si>
  <si>
    <t>B7401</t>
  </si>
  <si>
    <t>Tělesná výchova a sport</t>
  </si>
  <si>
    <t>N5345</t>
  </si>
  <si>
    <t>P7403</t>
  </si>
  <si>
    <t>Kinantropologie</t>
  </si>
  <si>
    <t>Kategorie</t>
  </si>
  <si>
    <t>Koeficient</t>
  </si>
  <si>
    <t>Nově přijatí</t>
  </si>
  <si>
    <t>Zvláštní</t>
  </si>
  <si>
    <t>Ostatní</t>
  </si>
  <si>
    <t>Půlroční</t>
  </si>
  <si>
    <t>UK</t>
  </si>
  <si>
    <t>Pedagogická fakulta</t>
  </si>
  <si>
    <t>B2+</t>
  </si>
  <si>
    <t>M1</t>
  </si>
  <si>
    <t>M7503</t>
  </si>
  <si>
    <t>Učitelství pro základní školy</t>
  </si>
  <si>
    <t>M2+</t>
  </si>
  <si>
    <t>N2+</t>
  </si>
  <si>
    <t>N7501</t>
  </si>
  <si>
    <t>N1</t>
  </si>
  <si>
    <t>1. lékařská fakulta</t>
  </si>
  <si>
    <t>Lékařská fakulta v Plzni</t>
  </si>
  <si>
    <t>P1</t>
  </si>
  <si>
    <t>P5104</t>
  </si>
  <si>
    <t>Stomatologie</t>
  </si>
  <si>
    <t>P2+</t>
  </si>
  <si>
    <t>Lékařská fakulta v Hradci Králové</t>
  </si>
  <si>
    <t>Fakulta VŠ</t>
  </si>
  <si>
    <t>Studijní program</t>
  </si>
  <si>
    <t>Přepočtený počet</t>
  </si>
  <si>
    <t>Normativ</t>
  </si>
  <si>
    <t>Kód</t>
  </si>
  <si>
    <t>Název</t>
  </si>
  <si>
    <t>B5341</t>
  </si>
  <si>
    <t>Ošetřovatelství</t>
  </si>
  <si>
    <t>B1</t>
  </si>
  <si>
    <t>B5349</t>
  </si>
  <si>
    <t>Porodní asistence</t>
  </si>
  <si>
    <t>P1412</t>
  </si>
  <si>
    <t>Biochemie a patobiochemie</t>
  </si>
  <si>
    <t>P1516</t>
  </si>
  <si>
    <t>Biologie a patologie buňky</t>
  </si>
  <si>
    <t>P1517</t>
  </si>
  <si>
    <t>Imunologie</t>
  </si>
  <si>
    <t>P1522</t>
  </si>
  <si>
    <t>Parazitologie</t>
  </si>
  <si>
    <t>P1529</t>
  </si>
  <si>
    <t>Vývojová a buněčná biologie</t>
  </si>
  <si>
    <t>P1804</t>
  </si>
  <si>
    <t>Biomedicínská informatika</t>
  </si>
  <si>
    <t>P5107</t>
  </si>
  <si>
    <t>Gerontologie</t>
  </si>
  <si>
    <t>P5108</t>
  </si>
  <si>
    <t>Neurovědy</t>
  </si>
  <si>
    <t>P5109</t>
  </si>
  <si>
    <t>Preventivní medicína</t>
  </si>
  <si>
    <t>P5110</t>
  </si>
  <si>
    <t>Lékařská biofyzika</t>
  </si>
  <si>
    <t>P5132</t>
  </si>
  <si>
    <t>Dějiny lékařství</t>
  </si>
  <si>
    <t>P5150</t>
  </si>
  <si>
    <t>Zobrazovací metody v lékařství</t>
  </si>
  <si>
    <t>P5183</t>
  </si>
  <si>
    <t>Bioetika</t>
  </si>
  <si>
    <t>P5208</t>
  </si>
  <si>
    <t>Farmakologie a toxikologie</t>
  </si>
  <si>
    <t>Celkem za fakultu</t>
  </si>
  <si>
    <t>3. lékařská fakulta</t>
  </si>
  <si>
    <t>2. lékařská fakulta</t>
  </si>
  <si>
    <t>P1512</t>
  </si>
  <si>
    <t>Antropologie</t>
  </si>
  <si>
    <t>P3919</t>
  </si>
  <si>
    <t>Biomechanika</t>
  </si>
  <si>
    <t>P5113</t>
  </si>
  <si>
    <t>Fyziologie a patologická fyziologie</t>
  </si>
  <si>
    <t>P5114</t>
  </si>
  <si>
    <t>Gynekologie a porodnictví</t>
  </si>
  <si>
    <t>P5115</t>
  </si>
  <si>
    <t>Hygiena, preventivní lékařství a epidemiologie</t>
  </si>
  <si>
    <t>P5118</t>
  </si>
  <si>
    <t>Lékařská farmakologie</t>
  </si>
  <si>
    <t>P5124</t>
  </si>
  <si>
    <t>Pediatrie</t>
  </si>
  <si>
    <t>P5128</t>
  </si>
  <si>
    <t>Sociální lékařství</t>
  </si>
  <si>
    <t>P5137</t>
  </si>
  <si>
    <t>Otorhinolaryngologie</t>
  </si>
  <si>
    <t>P5143</t>
  </si>
  <si>
    <t>Neurologie a psychiatrie</t>
  </si>
  <si>
    <t>P5144</t>
  </si>
  <si>
    <t>Dermatovenerologie</t>
  </si>
  <si>
    <t>P5145</t>
  </si>
  <si>
    <t>Patologie</t>
  </si>
  <si>
    <t>P5146</t>
  </si>
  <si>
    <t>Radiologie</t>
  </si>
  <si>
    <t>P5185</t>
  </si>
  <si>
    <t>Ortopedie</t>
  </si>
  <si>
    <t>P5117</t>
  </si>
  <si>
    <t>Lékařská biologie</t>
  </si>
  <si>
    <t>P5120</t>
  </si>
  <si>
    <t>Lékařská chemie a biochemie</t>
  </si>
  <si>
    <t>P5121</t>
  </si>
  <si>
    <t>Lékařská imunologie</t>
  </si>
  <si>
    <t>P5122</t>
  </si>
  <si>
    <t>Lékařská mikrobiologie</t>
  </si>
  <si>
    <t>P5123</t>
  </si>
  <si>
    <t>Neurologie</t>
  </si>
  <si>
    <t>P5127</t>
  </si>
  <si>
    <t>Psychiatrie</t>
  </si>
  <si>
    <t>P5142</t>
  </si>
  <si>
    <t>Klinická onkologie a radioterapie</t>
  </si>
  <si>
    <t>P5147</t>
  </si>
  <si>
    <t>Oční lékařství</t>
  </si>
  <si>
    <t>P5151</t>
  </si>
  <si>
    <t>Klinická biochemie</t>
  </si>
  <si>
    <t>P5163</t>
  </si>
  <si>
    <t>Hygiena, preventivní lékařství (čtyřleté)</t>
  </si>
  <si>
    <t>Farmaceutická fakulta v Hradci Králové</t>
  </si>
  <si>
    <t>B5207</t>
  </si>
  <si>
    <t>N5207</t>
  </si>
  <si>
    <t>P1402</t>
  </si>
  <si>
    <t>Organická chemie</t>
  </si>
  <si>
    <t>P1406</t>
  </si>
  <si>
    <t>Biochemie</t>
  </si>
  <si>
    <t>Filozofická fakulta</t>
  </si>
  <si>
    <t>B6101</t>
  </si>
  <si>
    <t>B6142</t>
  </si>
  <si>
    <t>Logika</t>
  </si>
  <si>
    <t>B6145</t>
  </si>
  <si>
    <t>Humanitní vědy</t>
  </si>
  <si>
    <t>B6701</t>
  </si>
  <si>
    <t>B6703</t>
  </si>
  <si>
    <t>B6731</t>
  </si>
  <si>
    <t>Sociální politika a sociální práce</t>
  </si>
  <si>
    <t>B7105</t>
  </si>
  <si>
    <t>B7201</t>
  </si>
  <si>
    <t>Informační studia a knihovnictví</t>
  </si>
  <si>
    <t>B7310</t>
  </si>
  <si>
    <t>B7311</t>
  </si>
  <si>
    <t>Anglistika - amerikanistika</t>
  </si>
  <si>
    <t>B7312</t>
  </si>
  <si>
    <t>Čeština v komunikaci neslyšících</t>
  </si>
  <si>
    <t>B7313</t>
  </si>
  <si>
    <t>Překladatelství a tlumočnictví</t>
  </si>
  <si>
    <t>B7501</t>
  </si>
  <si>
    <t>B7701</t>
  </si>
  <si>
    <t>B8109</t>
  </si>
  <si>
    <t>Obecná teorie a dějiny umění a kultury</t>
  </si>
  <si>
    <t>M7701</t>
  </si>
  <si>
    <t>N6142</t>
  </si>
  <si>
    <t>N6145</t>
  </si>
  <si>
    <t>N6731</t>
  </si>
  <si>
    <t>N7201</t>
  </si>
  <si>
    <t>N7312</t>
  </si>
  <si>
    <t>N7313</t>
  </si>
  <si>
    <t>N7701</t>
  </si>
  <si>
    <t>N8109</t>
  </si>
  <si>
    <t>P6142</t>
  </si>
  <si>
    <t>P7105</t>
  </si>
  <si>
    <t>P7201</t>
  </si>
  <si>
    <t>P7310</t>
  </si>
  <si>
    <t>P8109</t>
  </si>
  <si>
    <t>Právnická fakulta</t>
  </si>
  <si>
    <t>M6805</t>
  </si>
  <si>
    <t>Právo a právní věda</t>
  </si>
  <si>
    <t>Fakulta sociálních věd</t>
  </si>
  <si>
    <t>B6702</t>
  </si>
  <si>
    <t>B7202</t>
  </si>
  <si>
    <t>Mediální a komunikační studia</t>
  </si>
  <si>
    <t>N7202</t>
  </si>
  <si>
    <t>P6228</t>
  </si>
  <si>
    <t>Ekonomie a ekonometrie</t>
  </si>
  <si>
    <t>P6702</t>
  </si>
  <si>
    <t>P7202</t>
  </si>
  <si>
    <t>Fakulta humanitních studií</t>
  </si>
  <si>
    <t>N1601</t>
  </si>
  <si>
    <t>Ekologie a ochrana prostředí</t>
  </si>
  <si>
    <t>Katolická teologická fakulta</t>
  </si>
  <si>
    <t>M6141</t>
  </si>
  <si>
    <t>N6141</t>
  </si>
  <si>
    <t>Evangelická teologická fakulta</t>
  </si>
  <si>
    <t>B7508</t>
  </si>
  <si>
    <t>Sociální práce</t>
  </si>
  <si>
    <t>Husitská teologická fakulta</t>
  </si>
  <si>
    <t>M7504</t>
  </si>
  <si>
    <t>N7508</t>
  </si>
  <si>
    <t>Přírodovědecká fakulta</t>
  </si>
  <si>
    <t>B1201</t>
  </si>
  <si>
    <t>Geologie</t>
  </si>
  <si>
    <t>B1301</t>
  </si>
  <si>
    <t>Geografie</t>
  </si>
  <si>
    <t>B1303</t>
  </si>
  <si>
    <t>B1406</t>
  </si>
  <si>
    <t>B1407</t>
  </si>
  <si>
    <t>Chemie</t>
  </si>
  <si>
    <t>B1413</t>
  </si>
  <si>
    <t>Klinická a toxikologická analýza</t>
  </si>
  <si>
    <t>B1501</t>
  </si>
  <si>
    <t>Biologie</t>
  </si>
  <si>
    <t>B1601</t>
  </si>
  <si>
    <t>B3912</t>
  </si>
  <si>
    <t>Speciální chemicko-biologické obory</t>
  </si>
  <si>
    <t>B3967</t>
  </si>
  <si>
    <t>Bioinformatika</t>
  </si>
  <si>
    <t>N1201</t>
  </si>
  <si>
    <t>N1301</t>
  </si>
  <si>
    <t>N1303</t>
  </si>
  <si>
    <t>N1406</t>
  </si>
  <si>
    <t>N1407</t>
  </si>
  <si>
    <t>N1413</t>
  </si>
  <si>
    <t>N1501</t>
  </si>
  <si>
    <t>N5135</t>
  </si>
  <si>
    <t>Epidemiologie</t>
  </si>
  <si>
    <t>P1201</t>
  </si>
  <si>
    <t>P1202</t>
  </si>
  <si>
    <t>Aplikovaná geologie</t>
  </si>
  <si>
    <t>P1306</t>
  </si>
  <si>
    <t>Fyzická geografie a geoekologie</t>
  </si>
  <si>
    <t>P1308</t>
  </si>
  <si>
    <t>Regionální a politická geografie</t>
  </si>
  <si>
    <t>P1309</t>
  </si>
  <si>
    <t>Sociální geografie a regionální rozvoj</t>
  </si>
  <si>
    <t>P1310</t>
  </si>
  <si>
    <t>Kartografie, geoinformatika a dálkový průzkum Země</t>
  </si>
  <si>
    <t>P1315</t>
  </si>
  <si>
    <t>Obecné otázky geografie</t>
  </si>
  <si>
    <t>P1401</t>
  </si>
  <si>
    <t>Anorganická chemie</t>
  </si>
  <si>
    <t>P1403</t>
  </si>
  <si>
    <t>Analytická chemie</t>
  </si>
  <si>
    <t>P1404</t>
  </si>
  <si>
    <t>Fyzikální chemie</t>
  </si>
  <si>
    <t>P1405</t>
  </si>
  <si>
    <t>Makromolekulární chemie</t>
  </si>
  <si>
    <t>P1414</t>
  </si>
  <si>
    <t>Vzdělávání v chemii</t>
  </si>
  <si>
    <t>P1415</t>
  </si>
  <si>
    <t>Modelování chemických vlastností nano- a biostruktur</t>
  </si>
  <si>
    <t>P1423</t>
  </si>
  <si>
    <t>Didaktika chemie</t>
  </si>
  <si>
    <t>P1502</t>
  </si>
  <si>
    <t>Zoologie</t>
  </si>
  <si>
    <t>P1507</t>
  </si>
  <si>
    <t>Botanika</t>
  </si>
  <si>
    <t>P1514</t>
  </si>
  <si>
    <t>Ekologie</t>
  </si>
  <si>
    <t>P1521</t>
  </si>
  <si>
    <t>Fyziologie živočichů</t>
  </si>
  <si>
    <t>P1525</t>
  </si>
  <si>
    <t>Antropologie a genetika člověka</t>
  </si>
  <si>
    <t>P1526</t>
  </si>
  <si>
    <t>Teoretická a evoluční biologie</t>
  </si>
  <si>
    <t>P3931</t>
  </si>
  <si>
    <t>Environmentální vědy</t>
  </si>
  <si>
    <t>P6144</t>
  </si>
  <si>
    <t>Filozofie a dějiny přírodních věd</t>
  </si>
  <si>
    <t>Matematicko-fyzikální fakulta</t>
  </si>
  <si>
    <t>B1101</t>
  </si>
  <si>
    <t>B1701</t>
  </si>
  <si>
    <t>Fyzika</t>
  </si>
  <si>
    <t>N1701</t>
  </si>
  <si>
    <t>P1101</t>
  </si>
  <si>
    <t>P1701</t>
  </si>
  <si>
    <t>P1801</t>
  </si>
  <si>
    <t>B7505</t>
  </si>
  <si>
    <t>Vychovatelství</t>
  </si>
  <si>
    <t>B7506</t>
  </si>
  <si>
    <t>Speciální pedagogika</t>
  </si>
  <si>
    <t>N7506</t>
  </si>
  <si>
    <t>N7507</t>
  </si>
  <si>
    <t>P7507</t>
  </si>
  <si>
    <t>Fakulta tělesné výchovy a sportu</t>
  </si>
  <si>
    <t>N7401</t>
  </si>
  <si>
    <t>Celkem za VŠ</t>
  </si>
  <si>
    <t>KTF</t>
  </si>
  <si>
    <t>HTF</t>
  </si>
  <si>
    <t>CERGE</t>
  </si>
  <si>
    <t>Příspěvek</t>
  </si>
  <si>
    <t>UK celkem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</si>
  <si>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</si>
  <si>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</si>
  <si>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</si>
  <si>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</si>
  <si>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</si>
  <si>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</si>
  <si>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</si>
  <si>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</si>
  <si>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</si>
  <si>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</si>
  <si>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</si>
  <si>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</si>
  <si>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</si>
  <si>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</si>
  <si>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</si>
  <si>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</si>
  <si>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</si>
  <si>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23</t>
  </si>
  <si>
    <t>RUV body</t>
  </si>
  <si>
    <t>Fakulty + CERGE</t>
  </si>
  <si>
    <t>Cizinci v příslušném typu studijního programu</t>
  </si>
  <si>
    <t>Vyslaní v rámci mobilitních programů</t>
  </si>
  <si>
    <t>Přijatí v rámci mobilitních programů</t>
  </si>
  <si>
    <t>Ukazatel K celkem</t>
  </si>
  <si>
    <t>Celkem k rozdělení</t>
  </si>
  <si>
    <t>31</t>
  </si>
  <si>
    <t>UJOP</t>
  </si>
  <si>
    <t>41</t>
  </si>
  <si>
    <t>RUK a další souč.</t>
  </si>
  <si>
    <t>z toho:</t>
  </si>
  <si>
    <t>RUK</t>
  </si>
  <si>
    <t>COŽP</t>
  </si>
  <si>
    <t>CTS</t>
  </si>
  <si>
    <t>CPPT</t>
  </si>
  <si>
    <t>Nakladatelství</t>
  </si>
  <si>
    <t>ÚD a archiv UK</t>
  </si>
  <si>
    <t>ÚVT</t>
  </si>
  <si>
    <t>Ústř.knihovna</t>
  </si>
  <si>
    <t>42</t>
  </si>
  <si>
    <t>SBZ</t>
  </si>
  <si>
    <t>43</t>
  </si>
  <si>
    <t>KaM</t>
  </si>
  <si>
    <t>Bilance</t>
  </si>
  <si>
    <t>RUK a další součásti</t>
  </si>
  <si>
    <t>Dotace na podporu vědy k rozpisu</t>
  </si>
  <si>
    <t>Celkem fakulty a CERGE</t>
  </si>
  <si>
    <t>Prostředky na činnost dalších součástí z dotace na  podpory vědy</t>
  </si>
  <si>
    <t>Prostředky na činnost dalších součástí z příspěvku na vzdělávání</t>
  </si>
  <si>
    <t xml:space="preserve">Prostředky na činnost dalšch součástí celkem </t>
  </si>
  <si>
    <t>Albertov</t>
  </si>
  <si>
    <t>UNIMEC</t>
  </si>
  <si>
    <t>MEPHARED</t>
  </si>
  <si>
    <t>Trója-17.listopad</t>
  </si>
  <si>
    <t>BioMediC</t>
  </si>
  <si>
    <t>BIOCEV (40%)</t>
  </si>
  <si>
    <t>Plocha nemovitého majetku</t>
  </si>
  <si>
    <t>Výsledný podíl</t>
  </si>
  <si>
    <t>SBZ   2)</t>
  </si>
  <si>
    <t>UK  Celkem</t>
  </si>
  <si>
    <t>hranice koheze</t>
  </si>
  <si>
    <t>Legenda:</t>
  </si>
  <si>
    <r>
      <t>příspěvek</t>
    </r>
    <r>
      <rPr>
        <sz val="8"/>
        <rFont val="Tahoma"/>
        <family val="2"/>
      </rPr>
      <t xml:space="preserve"> = případný zůstatek lze celý převést do FPP</t>
    </r>
  </si>
  <si>
    <r>
      <t xml:space="preserve">dotace </t>
    </r>
    <r>
      <rPr>
        <sz val="8"/>
        <rFont val="Tahoma"/>
        <family val="2"/>
      </rPr>
      <t>= pokračuje-li, lze do FÚUP převést 5% dotace</t>
    </r>
  </si>
  <si>
    <t xml:space="preserve">Podpora vědy                    </t>
  </si>
  <si>
    <t xml:space="preserve">Specifický výzkum                                      </t>
  </si>
  <si>
    <t>index</t>
  </si>
  <si>
    <t>rozdíl</t>
  </si>
  <si>
    <t>ÚDAUK</t>
  </si>
  <si>
    <t>Příspěvek fixní část (A)</t>
  </si>
  <si>
    <t>Příspěvek výkonová část (K)</t>
  </si>
  <si>
    <t>Příspěvek na vzdělávací činnost z MŠMT celkem</t>
  </si>
  <si>
    <t>v tom:</t>
  </si>
  <si>
    <t xml:space="preserve">   na podporu uskutečňování mezinárodních studijních programů typu joint-degree a double/multiple-degree na univerzitě</t>
  </si>
  <si>
    <t xml:space="preserve">   na Fond mobility studentů a pedagogů a dodatečnou podporu programu Erasmus+</t>
  </si>
  <si>
    <t xml:space="preserve">   na odměny školitelů studentů, kteří úspěšně ukončili studium DSP</t>
  </si>
  <si>
    <t xml:space="preserve">   na ubytovací stipendia, která mají být dle Stipendijního řádu UK vyplacena studentům a nelze je hradit z příspěvku poskytnutého na ubytovací stipendia </t>
  </si>
  <si>
    <t xml:space="preserve">   na rezervu na havárie a mimořádné události</t>
  </si>
  <si>
    <t>4.4.</t>
  </si>
  <si>
    <t>4.1.a)</t>
  </si>
  <si>
    <t>4.1.b)</t>
  </si>
  <si>
    <t>4.1.c)</t>
  </si>
  <si>
    <t>4.1.d)</t>
  </si>
  <si>
    <t>4.1.e)</t>
  </si>
  <si>
    <t>4.1.f)</t>
  </si>
  <si>
    <t>4.1.h)</t>
  </si>
  <si>
    <t>Vytvoření zdrojů:</t>
  </si>
  <si>
    <t>1.1.a) a 4.1.</t>
  </si>
  <si>
    <t>2.1.a)  a 4.2.</t>
  </si>
  <si>
    <t xml:space="preserve">   UNCE</t>
  </si>
  <si>
    <t>4.2.a)</t>
  </si>
  <si>
    <t xml:space="preserve">   Primus</t>
  </si>
  <si>
    <t>4.2.b)</t>
  </si>
  <si>
    <t xml:space="preserve">   Donatio</t>
  </si>
  <si>
    <t>4.2.c)</t>
  </si>
  <si>
    <t xml:space="preserve">   z příspěvku na vzdělávací činnost</t>
  </si>
  <si>
    <t xml:space="preserve">   z dotace na vědu</t>
  </si>
  <si>
    <t>4.3.</t>
  </si>
  <si>
    <t>Podíl příspěvku po odečtení zdrojů dle 4.1. a 4.2.</t>
  </si>
  <si>
    <t>Zdroje na fond rektora</t>
  </si>
  <si>
    <t>1.2.</t>
  </si>
  <si>
    <t>1.2.a)</t>
  </si>
  <si>
    <t>Dotace na podporu vědy na Progres</t>
  </si>
  <si>
    <t>2.</t>
  </si>
  <si>
    <t>Zdroje z SVV (MŠMT) na GA UK</t>
  </si>
  <si>
    <t>SVV (MŠMT) na univerzitní soutěž SVV</t>
  </si>
  <si>
    <t>3.1.</t>
  </si>
  <si>
    <t>3.2.</t>
  </si>
  <si>
    <t>Pavilon MFF Trója</t>
  </si>
  <si>
    <t>K rozdělení</t>
  </si>
  <si>
    <t>Zdroje</t>
  </si>
  <si>
    <t>Pořadí</t>
  </si>
  <si>
    <t>Název projektu</t>
  </si>
  <si>
    <t>Poskytovatel</t>
  </si>
  <si>
    <t>Hlavní příjemce</t>
  </si>
  <si>
    <t>Název hlavního příjemce / Partnera</t>
  </si>
  <si>
    <t>Začátek</t>
  </si>
  <si>
    <t>Konec</t>
  </si>
  <si>
    <t>LM2010001</t>
  </si>
  <si>
    <t>ThALES - příspěvek k obnovení velké výzkumné infrastruktury pan-evropského významu z ESFRI Roadmap - vývoj a konstrukce spektrometru ThALES v ILL20-20</t>
  </si>
  <si>
    <t>MSM</t>
  </si>
  <si>
    <t>orjk:11320</t>
  </si>
  <si>
    <t>Univerzita Karlova / Matematicko-fyzikální fakulta</t>
  </si>
  <si>
    <t>LM2010004</t>
  </si>
  <si>
    <t>BBMRI_CZ v rámci budování české části velké distribuované výzkumné infrastruktury pan-evropského významu: vytvoření a provoz sítě bank biologického materiálu pro biomedicínský výzkum</t>
  </si>
  <si>
    <t>ico:00209805</t>
  </si>
  <si>
    <t>Masarykův onkologický ústav / UK - 1. LF</t>
  </si>
  <si>
    <t>/ UK - LF HK</t>
  </si>
  <si>
    <t>/ UK - LF Pl</t>
  </si>
  <si>
    <t>LM2010008</t>
  </si>
  <si>
    <t>CzechGeo/EPOS ? Distribuovaný systém observatorních a terénních měření geofyzikálních polí v České republice</t>
  </si>
  <si>
    <t>ico:67985530</t>
  </si>
  <si>
    <t>Geofyzikální ústav AV ČR, v. v. i. / UK - PřF</t>
  </si>
  <si>
    <t>/ UK - MFF</t>
  </si>
  <si>
    <t>LM2010013</t>
  </si>
  <si>
    <t>LINDAT-CLARIN: Institut pro analýzu, zpracování a distribuci lingvistických dat</t>
  </si>
  <si>
    <t>LM2011023</t>
  </si>
  <si>
    <t>Český národní korpus</t>
  </si>
  <si>
    <t>orjk:11210</t>
  </si>
  <si>
    <t>Univerzita Karlova / Filozofická fakulta</t>
  </si>
  <si>
    <t>LM2011025</t>
  </si>
  <si>
    <t>LMNT - Laboratoře magnetizmu a nízkých teplot - provoz a rozvoj národní výzkumné infrastruktury</t>
  </si>
  <si>
    <t>LM2015038</t>
  </si>
  <si>
    <t>Observatoř Pierra Augera ? účast České republiky</t>
  </si>
  <si>
    <t>ico:68378271</t>
  </si>
  <si>
    <t>Fyzikální ústav AV ČR, v. v. i. / UK - MFF</t>
  </si>
  <si>
    <t>LM2015044</t>
  </si>
  <si>
    <t>LM2015046</t>
  </si>
  <si>
    <t>Cherenkov Telescope Array ? účast České republiky</t>
  </si>
  <si>
    <t>LM2015047</t>
  </si>
  <si>
    <t>Česká národní infrastruktura pro biologická data</t>
  </si>
  <si>
    <t>ico:61388963</t>
  </si>
  <si>
    <t>Ústav organické chemie a biochemie AV ČR, v. v. i. / UK - PřF</t>
  </si>
  <si>
    <t>LM2015049</t>
  </si>
  <si>
    <t>Laboratoř pro výzkum s antiprotony a těžkými ionty ? účast České republiky</t>
  </si>
  <si>
    <t>ico:61389005</t>
  </si>
  <si>
    <t>Ústav jaderné fyziky AV ČR, v. v. i. / UK - MFF</t>
  </si>
  <si>
    <t>LM2015050</t>
  </si>
  <si>
    <t>Institut Laue-Langevin ? účast České republiky</t>
  </si>
  <si>
    <t>LM2015054</t>
  </si>
  <si>
    <t>Brookhavenská národní laboratoř ? účast České republiky</t>
  </si>
  <si>
    <t>orjk:21340</t>
  </si>
  <si>
    <t>České vysoké učení technické v Praze / Fakulta jaderná a fyzikálně inženýrská / UK - MFF</t>
  </si>
  <si>
    <t>LM2015057</t>
  </si>
  <si>
    <t>Laboratoř fyziky povrchů ? Optická dráha pro výzkum materiálů</t>
  </si>
  <si>
    <t>LM2015058</t>
  </si>
  <si>
    <t>Výzkumná infrastruktura pro experimenty v CERN</t>
  </si>
  <si>
    <t>LM2015062</t>
  </si>
  <si>
    <t>Národní infrastruktura pro biologické a medicínské zobrazování</t>
  </si>
  <si>
    <t>ico:68378050</t>
  </si>
  <si>
    <t>Ústav molekulární genetiky AV ČR, v. v. i. / 1. LF</t>
  </si>
  <si>
    <t>LM2015064</t>
  </si>
  <si>
    <t>Český národní uzel Evropské infrastruktury pro translační medicínu</t>
  </si>
  <si>
    <t>orjk:15110</t>
  </si>
  <si>
    <t>Univerzita Palackého v Olomouci / Lékařská fakulta / UK - 1. LF</t>
  </si>
  <si>
    <t>LM2015068</t>
  </si>
  <si>
    <t>Výzkumná infrastruktura pro experimenty ve Fermilab</t>
  </si>
  <si>
    <t>LM2015071</t>
  </si>
  <si>
    <t>Jazyková výzkumná infrastruktura v České republice</t>
  </si>
  <si>
    <t>LM2015075</t>
  </si>
  <si>
    <t>Národní infrastruktura pro komplexní monitorování půdních a vodních ekosystémů v kontextu trvale udržitelného využívání krajiny</t>
  </si>
  <si>
    <t>ico:60077344</t>
  </si>
  <si>
    <t>Biologické centrum AV ČR, v. v. i. / UK - PřF</t>
  </si>
  <si>
    <t>LM2015079</t>
  </si>
  <si>
    <t>Distribuovaný systém observatorních a terénních měření geofyzikálních polí</t>
  </si>
  <si>
    <t>Geofyzikální ústav AV ČR, v. v. i. / UK - MFF</t>
  </si>
  <si>
    <t>LM2015084</t>
  </si>
  <si>
    <t>Výzkumná infrastruktura pro geotermální energii</t>
  </si>
  <si>
    <t>orjk:11310</t>
  </si>
  <si>
    <t>Univerzita Karlova / Přírodovědecká fakulta</t>
  </si>
  <si>
    <t>LM2015089</t>
  </si>
  <si>
    <t>LM2015091</t>
  </si>
  <si>
    <t>Národní centrum lékařské genomiky</t>
  </si>
  <si>
    <t>orjk:11110</t>
  </si>
  <si>
    <t>Univerzita Karlova / 1. lékařská fakulta</t>
  </si>
  <si>
    <t>46</t>
  </si>
  <si>
    <t>CK</t>
  </si>
  <si>
    <t>Venkovní hřiště</t>
  </si>
  <si>
    <t>váha venkovních hřišť</t>
  </si>
  <si>
    <t>Plocha nemovitostí bez hřišť</t>
  </si>
  <si>
    <t>Plocha nemovitostí s hřišti</t>
  </si>
  <si>
    <t>DKR</t>
  </si>
  <si>
    <t>K rozdělení fakultám</t>
  </si>
  <si>
    <t xml:space="preserve">SBZ </t>
  </si>
  <si>
    <r>
      <t>B1</t>
    </r>
    <r>
      <rPr>
        <sz val="8"/>
        <rFont val="Tahoma"/>
        <family val="2"/>
      </rPr>
      <t xml:space="preserve"> - počet studentů v bakalářských studijních programech v prvním roce studia daného studijního programu;</t>
    </r>
  </si>
  <si>
    <r>
      <t>B2+</t>
    </r>
    <r>
      <rPr>
        <sz val="8"/>
        <rFont val="Tahoma"/>
        <family val="2"/>
      </rPr>
      <t xml:space="preserve"> - počet studentů v bakalářských studijních programech v druhém a dalším roce studia daného studijního programu;</t>
    </r>
  </si>
  <si>
    <r>
      <t xml:space="preserve">(podobně pro magisterský </t>
    </r>
    <r>
      <rPr>
        <b/>
        <sz val="11"/>
        <color indexed="8"/>
        <rFont val="Calibri"/>
        <family val="2"/>
      </rPr>
      <t>M1, M2+</t>
    </r>
    <r>
      <rPr>
        <sz val="8"/>
        <rFont val="Tahoma"/>
        <family val="2"/>
      </rPr>
      <t xml:space="preserve">, magisterský navazující </t>
    </r>
    <r>
      <rPr>
        <b/>
        <sz val="11"/>
        <color indexed="8"/>
        <rFont val="Calibri"/>
        <family val="2"/>
      </rPr>
      <t>N1, N2+</t>
    </r>
    <r>
      <rPr>
        <sz val="8"/>
        <rFont val="Tahoma"/>
        <family val="2"/>
      </rPr>
      <t xml:space="preserve"> a doktorský </t>
    </r>
    <r>
      <rPr>
        <b/>
        <sz val="11"/>
        <color indexed="8"/>
        <rFont val="Calibri"/>
        <family val="2"/>
      </rPr>
      <t>P1, P2+</t>
    </r>
    <r>
      <rPr>
        <sz val="8"/>
        <rFont val="Tahoma"/>
        <family val="2"/>
      </rPr>
      <t xml:space="preserve"> studijní program).</t>
    </r>
  </si>
  <si>
    <t>Do délky studia pro členění na jednotlivé kategorie se započítává aktuální studium a registrované přestupy/převody (pokud existují). Též se započítávají i nerozpočtové etapy daného studia. Předchozí neúspěšná studia se nezapočítávají. Pod pojmem "dané studium" se v případě existence přestupu/převodu chápe celá přestupová línie.</t>
  </si>
  <si>
    <t>Financování studijních programů</t>
  </si>
  <si>
    <t>Počty studií</t>
  </si>
  <si>
    <t>Univerzita Karlova</t>
  </si>
  <si>
    <t>P6731</t>
  </si>
  <si>
    <t>B1+M1+N1+P1</t>
  </si>
  <si>
    <t>Změna KEN</t>
  </si>
  <si>
    <t>Změna Přepočt</t>
  </si>
  <si>
    <t>Limity pro pokles</t>
  </si>
  <si>
    <t>LFHK : FaF = 1:1</t>
  </si>
  <si>
    <t>PřF : 1. LF = 2:1</t>
  </si>
  <si>
    <t>K rozpisu na programy Progres</t>
  </si>
  <si>
    <t>Meziroční nárůst</t>
  </si>
  <si>
    <t>Meziroční změna absolutně</t>
  </si>
  <si>
    <t>Meziroční změna relativně</t>
  </si>
  <si>
    <t>Podíl na nárůstu</t>
  </si>
  <si>
    <t>1 Vzdělávací činnost</t>
  </si>
  <si>
    <t>5 Koheze</t>
  </si>
  <si>
    <t>Příspěvek celkem</t>
  </si>
  <si>
    <t>Výpočet RUV</t>
  </si>
  <si>
    <t>Vzdělávací činnost, koheze, RUK</t>
  </si>
  <si>
    <t>Hodnota prostředků pod hranicí
koheze</t>
  </si>
  <si>
    <t>Převody v rámci koheze</t>
  </si>
  <si>
    <t>Meziroční změna po kohezi</t>
  </si>
  <si>
    <t>RUK 1)</t>
  </si>
  <si>
    <t>Dotace na podporu vědy (DPV) z MŠMT</t>
  </si>
  <si>
    <t xml:space="preserve">   na podporu internacionalizace aktivit studentů</t>
  </si>
  <si>
    <t xml:space="preserve">   na jednorázovou podporu sociálně slabých studentů</t>
  </si>
  <si>
    <t>4.1.i)</t>
  </si>
  <si>
    <t xml:space="preserve">   na dokrytí nákladů na Open Access a na elektronické informační zdroje </t>
  </si>
  <si>
    <t>4.1.j)</t>
  </si>
  <si>
    <t xml:space="preserve">   na zajištění antiplagiátorského software a související školení</t>
  </si>
  <si>
    <t xml:space="preserve">   na činnost RVH a na oborové akreditace</t>
  </si>
  <si>
    <t xml:space="preserve">      z dotace na vědu</t>
  </si>
  <si>
    <t xml:space="preserve">      z příspěvku na vzdělávací činnost</t>
  </si>
  <si>
    <t>4.6.</t>
  </si>
  <si>
    <t>Ukazatel A 2017</t>
  </si>
  <si>
    <t>Paušál 2017</t>
  </si>
  <si>
    <t>Paušál 2016</t>
  </si>
  <si>
    <t>Ukazatel A 2016</t>
  </si>
  <si>
    <t>2016</t>
  </si>
  <si>
    <t>Paušál 2015</t>
  </si>
  <si>
    <t>Ukazatel A 2015</t>
  </si>
  <si>
    <t>2015</t>
  </si>
  <si>
    <t>Váhy:</t>
  </si>
  <si>
    <t>Veřejné prostředky získané ze zahraničí</t>
  </si>
  <si>
    <t>Graduation rate</t>
  </si>
  <si>
    <t>Procento</t>
  </si>
  <si>
    <t>8,4%</t>
  </si>
  <si>
    <t>Index</t>
  </si>
  <si>
    <t xml:space="preserve">Vyslaní </t>
  </si>
  <si>
    <t>Váhy parametrů</t>
  </si>
  <si>
    <t>Fakulty</t>
  </si>
  <si>
    <t>účelová NIV podpora VaVaI</t>
  </si>
  <si>
    <t>příjmy z CŽV</t>
  </si>
  <si>
    <t>výnosy z transferu znalostí</t>
  </si>
  <si>
    <t>4.1.k)</t>
  </si>
  <si>
    <t>4.1.l)</t>
  </si>
  <si>
    <t>Pokles předpočtených studií zapsaných do prvních ročníků</t>
  </si>
  <si>
    <t>2017 Přepočt</t>
  </si>
  <si>
    <t>Peníze</t>
  </si>
  <si>
    <t>2017</t>
  </si>
  <si>
    <t xml:space="preserve">Přijatí </t>
  </si>
  <si>
    <t>Kampus Veleslavín</t>
  </si>
  <si>
    <t>Nová budova archivu</t>
  </si>
  <si>
    <t>Rozdělení 10 mil. Kč podle čl. 4 odst. 4. písm. b) bod ii)</t>
  </si>
  <si>
    <t>4.4 Majetek z DPV</t>
  </si>
  <si>
    <t>47</t>
  </si>
  <si>
    <t>váha odpisů nemovitého majetku</t>
  </si>
  <si>
    <t>K MŠMT pro segment 4</t>
  </si>
  <si>
    <t>RUV MŠMT pro segment 4</t>
  </si>
  <si>
    <t>váha RUV v segmentu 4</t>
  </si>
  <si>
    <t>RUV pro UK</t>
  </si>
  <si>
    <t>podíl UK na RUV v segmentu 4</t>
  </si>
  <si>
    <t>Podíl příspěvku</t>
  </si>
  <si>
    <r>
      <t xml:space="preserve">Tabulka obsahuje přepočtený počet studentů  </t>
    </r>
    <r>
      <rPr>
        <b/>
        <sz val="14"/>
        <color indexed="8"/>
        <rFont val="Calibri"/>
        <family val="2"/>
      </rPr>
      <t xml:space="preserve">31. 10. 2017 </t>
    </r>
    <r>
      <rPr>
        <sz val="8"/>
        <rFont val="Tahoma"/>
        <family val="2"/>
      </rPr>
      <t>za fakulty a vysokou školu rozdělený do osmi kategorií podle typu studijního programu a délky studia:</t>
    </r>
  </si>
  <si>
    <r>
      <t xml:space="preserve">(podobně pro magisterský </t>
    </r>
    <r>
      <rPr>
        <b/>
        <sz val="11"/>
        <color indexed="8"/>
        <rFont val="Calibri"/>
        <family val="2"/>
      </rPr>
      <t>M1, M2+</t>
    </r>
    <r>
      <rPr>
        <sz val="8"/>
        <rFont val="Tahoma"/>
        <family val="2"/>
      </rPr>
      <t xml:space="preserve">, magisterský navazující </t>
    </r>
    <r>
      <rPr>
        <b/>
        <sz val="11"/>
        <color indexed="8"/>
        <rFont val="Calibri"/>
        <family val="2"/>
      </rPr>
      <t>N1, N2+</t>
    </r>
    <r>
      <rPr>
        <sz val="8"/>
        <rFont val="Tahoma"/>
        <family val="2"/>
      </rPr>
      <t xml:space="preserve"> a doktorský </t>
    </r>
    <r>
      <rPr>
        <b/>
        <sz val="11"/>
        <color indexed="8"/>
        <rFont val="Calibri"/>
        <family val="2"/>
      </rPr>
      <t>P1, P2+</t>
    </r>
    <r>
      <rPr>
        <sz val="8"/>
        <rFont val="Tahoma"/>
        <family val="2"/>
      </rPr>
      <t xml:space="preserve"> studijní program).</t>
    </r>
  </si>
  <si>
    <t>P5162</t>
  </si>
  <si>
    <t>Onkologie (čtyřleté)</t>
  </si>
  <si>
    <t>P5347</t>
  </si>
  <si>
    <t>Veřejné zdravotnictví</t>
  </si>
  <si>
    <t>B3975</t>
  </si>
  <si>
    <t>Hydrologie a hydrogeologie</t>
  </si>
  <si>
    <t>B3976</t>
  </si>
  <si>
    <t>Vědy o zemi</t>
  </si>
  <si>
    <t>N3967</t>
  </si>
  <si>
    <t>N3975</t>
  </si>
  <si>
    <t>2017 Norm</t>
  </si>
  <si>
    <t>2017 KEN</t>
  </si>
  <si>
    <t>Limit</t>
  </si>
  <si>
    <t>PřF: 1. LF : MFF = 3:1:1</t>
  </si>
  <si>
    <t>Bonifikace v procentech</t>
  </si>
  <si>
    <t>Bonifikace v Kč</t>
  </si>
  <si>
    <t>4.1.m)</t>
  </si>
  <si>
    <t xml:space="preserve">   na doplnění mimořádného příspěvku na podporu přípravy projektů</t>
  </si>
  <si>
    <t>4.1.n)</t>
  </si>
  <si>
    <t xml:space="preserve">   na zajištění kofinancování páteřního vybavení ÚVT</t>
  </si>
  <si>
    <t xml:space="preserve">   fixní část</t>
  </si>
  <si>
    <t xml:space="preserve">   výkonová část</t>
  </si>
  <si>
    <t>2018 Přepočt</t>
  </si>
  <si>
    <t>Změna 2018/2017</t>
  </si>
  <si>
    <t>Vědecký výkon</t>
  </si>
  <si>
    <t>Podíl fixní části</t>
  </si>
  <si>
    <t xml:space="preserve">   na zajištění činnosti Akademického senátu UK</t>
  </si>
  <si>
    <t>4.1.o)</t>
  </si>
  <si>
    <t>2018</t>
  </si>
  <si>
    <t>Zahraniční učitelé</t>
  </si>
  <si>
    <t>Mezifakultní prostupnost studia</t>
  </si>
  <si>
    <t>RUV</t>
  </si>
  <si>
    <t>Fixní část</t>
  </si>
  <si>
    <t>Výkonová část</t>
  </si>
  <si>
    <t>Dotace na podporu vědy (Progresy)</t>
  </si>
  <si>
    <t>Areál Jinonice</t>
  </si>
  <si>
    <t>Příspěvek - fixní část</t>
  </si>
  <si>
    <t>přepočtený počet: 62 + 32 + 0 * 0,5 = 94</t>
  </si>
  <si>
    <t>přepočtený počet: 0 + 61 + 4 * 0,5 = 63</t>
  </si>
  <si>
    <t>Normativní počet</t>
  </si>
  <si>
    <t>normatívní počet: 1,65 * 129 = 212,85</t>
  </si>
  <si>
    <t>Průměrný KEN UK</t>
  </si>
  <si>
    <t>Průměrný normativ UK</t>
  </si>
  <si>
    <t>Základní normativ</t>
  </si>
  <si>
    <t>Celá UK</t>
  </si>
  <si>
    <t>(tj. příspěvekna vzdělávání celkem děleno normativní počet studentů)</t>
  </si>
  <si>
    <t>(tj. fix děleno normativní počet studentů)</t>
  </si>
  <si>
    <t>Tabulka obsahuje přepočtený počet studentů za fakulty a vysokou školu rozdělený do osmi kategorií podle typu studijního programu a délky studia:</t>
  </si>
  <si>
    <r>
      <t>B1</t>
    </r>
    <r>
      <rPr>
        <sz val="11"/>
        <color indexed="8"/>
        <rFont val="Calibri"/>
        <family val="2"/>
      </rPr>
      <t xml:space="preserve"> - počet studentů v bakalářských studijních programech v prvním roce studia daného studijního programu;</t>
    </r>
  </si>
  <si>
    <r>
      <t>B2+</t>
    </r>
    <r>
      <rPr>
        <sz val="11"/>
        <color indexed="8"/>
        <rFont val="Calibri"/>
        <family val="2"/>
      </rPr>
      <t xml:space="preserve"> - počet studentů v bakalářských studijních programech v druhém a dalším roce studia daného studijního programu;</t>
    </r>
  </si>
  <si>
    <r>
      <t xml:space="preserve">(podobně pro magisterský </t>
    </r>
    <r>
      <rPr>
        <b/>
        <sz val="11"/>
        <color indexed="8"/>
        <rFont val="Calibri"/>
        <family val="2"/>
      </rPr>
      <t>M1, M2+</t>
    </r>
    <r>
      <rPr>
        <sz val="11"/>
        <color indexed="8"/>
        <rFont val="Calibri"/>
        <family val="2"/>
      </rPr>
      <t xml:space="preserve">, magisterský navazující </t>
    </r>
    <r>
      <rPr>
        <b/>
        <sz val="11"/>
        <color indexed="8"/>
        <rFont val="Calibri"/>
        <family val="2"/>
      </rPr>
      <t>N1, N2+</t>
    </r>
    <r>
      <rPr>
        <sz val="11"/>
        <color indexed="8"/>
        <rFont val="Calibri"/>
        <family val="2"/>
      </rPr>
      <t xml:space="preserve"> a doktorský </t>
    </r>
    <r>
      <rPr>
        <b/>
        <sz val="11"/>
        <color indexed="8"/>
        <rFont val="Calibri"/>
        <family val="2"/>
      </rPr>
      <t>P1, P2+</t>
    </r>
    <r>
      <rPr>
        <sz val="11"/>
        <color indexed="8"/>
        <rFont val="Calibri"/>
        <family val="2"/>
      </rPr>
      <t xml:space="preserve"> studijní program).</t>
    </r>
  </si>
  <si>
    <t xml:space="preserve">   zajištění práce komisí pro vnitřní hodnocení vědy na UK</t>
  </si>
  <si>
    <t>4.2.d)</t>
  </si>
  <si>
    <t xml:space="preserve">   podpora a rozvoj vědecké spolupráce v rámci projektu 4EU a strategických partnerství</t>
  </si>
  <si>
    <t>4.2.e)</t>
  </si>
  <si>
    <t>*1</t>
  </si>
  <si>
    <t>11000 Univerzita Karlova</t>
  </si>
  <si>
    <t/>
  </si>
  <si>
    <t>Kód a název VVŠ</t>
  </si>
  <si>
    <t>Vzhledem k tomu, že UK jako celek dodržela parametry referenčních hodnot prvních ročníků, nebudou letos červené fakulty penalizovány dle čl. 1 odst. 4 Principů.</t>
  </si>
  <si>
    <t>Graduation rate - Bc.</t>
  </si>
  <si>
    <t>Přepočtený počet studií - Bc.</t>
  </si>
  <si>
    <t>Graduation rate - Mgr.</t>
  </si>
  <si>
    <t>Přepočtený počet studií - Mgr.</t>
  </si>
  <si>
    <t>Graduation rate - NMgr.</t>
  </si>
  <si>
    <t>Přepočtený počet studií - NMgr.</t>
  </si>
  <si>
    <t>Graduation rate - Ph.D.</t>
  </si>
  <si>
    <t>Přepočtený počet studií - Ph.D.</t>
  </si>
  <si>
    <t>GR absolutní hodnota - vážená</t>
  </si>
  <si>
    <t>Vážený počet
profesorů a docentů</t>
  </si>
  <si>
    <t>Prof.</t>
  </si>
  <si>
    <t>Doc.</t>
  </si>
  <si>
    <t>Ukazatel
 K c)</t>
  </si>
  <si>
    <t>Fakulta</t>
  </si>
  <si>
    <t>Celkový
podíl na
ukazateli
Kc)</t>
  </si>
  <si>
    <r>
      <rPr>
        <b/>
        <sz val="14"/>
        <rFont val="Arial"/>
        <family val="2"/>
      </rPr>
      <t>Externí příjmy</t>
    </r>
    <r>
      <rPr>
        <b/>
        <sz val="8"/>
        <rFont val="Arial"/>
        <family val="2"/>
      </rPr>
      <t xml:space="preserve">
</t>
    </r>
    <r>
      <rPr>
        <sz val="12"/>
        <rFont val="Arial"/>
        <family val="2"/>
      </rPr>
      <t>(vč. účelových NIV prostředků na VaV)</t>
    </r>
  </si>
  <si>
    <t>Samoplátci v
příslušném
typu
studijního programu</t>
  </si>
  <si>
    <t>/ UK - 2. LF</t>
  </si>
  <si>
    <t>Banka klinických vzorků - BBMRI-CZ</t>
  </si>
  <si>
    <r>
      <rPr>
        <sz val="10"/>
        <rFont val="Tahoma"/>
        <family val="2"/>
      </rPr>
      <t xml:space="preserve">Index
</t>
    </r>
    <r>
      <rPr>
        <b/>
        <sz val="10"/>
        <rFont val="Tahoma"/>
        <family val="2"/>
      </rPr>
      <t>2020/2019</t>
    </r>
  </si>
  <si>
    <r>
      <rPr>
        <sz val="10"/>
        <rFont val="Tahoma"/>
        <family val="2"/>
      </rPr>
      <t xml:space="preserve">Rozdíl
</t>
    </r>
    <r>
      <rPr>
        <b/>
        <sz val="10"/>
        <rFont val="Tahoma"/>
        <family val="2"/>
      </rPr>
      <t>2020-2019</t>
    </r>
  </si>
  <si>
    <t xml:space="preserve">   na vytvoření rezervy na pokrytí doktorandských stipendií pro studenty v cizojazyčných DSP</t>
  </si>
  <si>
    <r>
      <t xml:space="preserve">   na podporu </t>
    </r>
    <r>
      <rPr>
        <sz val="10"/>
        <rFont val="Tahoma"/>
        <family val="2"/>
      </rPr>
      <t>"malých studijních programů"</t>
    </r>
  </si>
  <si>
    <t xml:space="preserve">   na povinné spolufinancování výstavby archivu UK v Motole</t>
  </si>
  <si>
    <t xml:space="preserve">   na spolufinancování Centra vizuální historie MALACH</t>
  </si>
  <si>
    <t>4.1.p)</t>
  </si>
  <si>
    <t xml:space="preserve">   na spolufinancování projektu 4EU+</t>
  </si>
  <si>
    <t>4.3.a)</t>
  </si>
  <si>
    <t>4.3.b)</t>
  </si>
  <si>
    <t>Počet teplých jídel vydaných studentům</t>
  </si>
  <si>
    <t>Počet studených jídel vydaných studentům</t>
  </si>
  <si>
    <t>studená přepočtená koef. 0,4</t>
  </si>
  <si>
    <t>teplá + studená přepočtená celkem</t>
  </si>
  <si>
    <t>Podíl</t>
  </si>
  <si>
    <t>Dotace na stravování</t>
  </si>
  <si>
    <t>v menzách vysoké školy</t>
  </si>
  <si>
    <t>v jiných stravovacích zařízeních</t>
  </si>
  <si>
    <t>rozpočtoví studenti</t>
  </si>
  <si>
    <t>zahraniční studenti</t>
  </si>
  <si>
    <t>ÚJOP</t>
  </si>
  <si>
    <t>celkem</t>
  </si>
  <si>
    <t>Dotace</t>
  </si>
  <si>
    <t>Normativ na 1 hlavní jídlo (v Kč)</t>
  </si>
  <si>
    <t>Součást</t>
  </si>
  <si>
    <t>2019</t>
  </si>
  <si>
    <t xml:space="preserve"> = check na minulé roky z minulého Rozpisu</t>
  </si>
  <si>
    <t>check na odesláno Maňáskovi</t>
  </si>
  <si>
    <t>Rozdělení 66 mil. Kč podle čl. 4,
odst. 5., písm. a)</t>
  </si>
  <si>
    <t>Centrum exp.biologie rostlin</t>
  </si>
  <si>
    <t>BIOMEDIC</t>
  </si>
  <si>
    <t>Celková částka projektu:</t>
  </si>
  <si>
    <r>
      <t xml:space="preserve">Náklady
projektů
</t>
    </r>
    <r>
      <rPr>
        <sz val="8"/>
        <rFont val="Tahoma"/>
        <family val="2"/>
      </rPr>
      <t>(Kč)</t>
    </r>
  </si>
  <si>
    <t>(Kč)</t>
  </si>
  <si>
    <t>Odpisy nemovitého m. (2019)</t>
  </si>
  <si>
    <t>Vážené ukazatele</t>
  </si>
  <si>
    <r>
      <t xml:space="preserve">Tabulka obsahuje přepočtený počet studentů  </t>
    </r>
    <r>
      <rPr>
        <b/>
        <sz val="14"/>
        <color indexed="8"/>
        <rFont val="Calibri"/>
        <family val="2"/>
      </rPr>
      <t xml:space="preserve">31. 10. 2018 </t>
    </r>
    <r>
      <rPr>
        <sz val="8"/>
        <rFont val="Tahoma"/>
        <family val="2"/>
      </rPr>
      <t>za fakulty a vysokou školu rozdělený do osmi kategorií podle typu studijního programu a délky studia:</t>
    </r>
  </si>
  <si>
    <t>B0915P360002</t>
  </si>
  <si>
    <t>Ergoterapie</t>
  </si>
  <si>
    <t>B0915P360003</t>
  </si>
  <si>
    <t>Nutriční terapie</t>
  </si>
  <si>
    <t>B0988P360001</t>
  </si>
  <si>
    <t>Adiktologie</t>
  </si>
  <si>
    <t>M0911A350004</t>
  </si>
  <si>
    <t>N0988A360001</t>
  </si>
  <si>
    <t>P0512D350003</t>
  </si>
  <si>
    <t>P0512D350004</t>
  </si>
  <si>
    <t>Biochemistry and Pathobiochemistry</t>
  </si>
  <si>
    <t>B0913P360001</t>
  </si>
  <si>
    <t>Všeobecné ošetřovatelství</t>
  </si>
  <si>
    <t>B0915P360012</t>
  </si>
  <si>
    <t>N0913P360001</t>
  </si>
  <si>
    <t>Intenzivní péče</t>
  </si>
  <si>
    <t>P0912D350021</t>
  </si>
  <si>
    <t>Kardiovaskulární vědy</t>
  </si>
  <si>
    <t>B0913P360002</t>
  </si>
  <si>
    <t>B0913P360003</t>
  </si>
  <si>
    <t>Pediatrické ošetřovatelství</t>
  </si>
  <si>
    <t>B0915P360001</t>
  </si>
  <si>
    <t>Fyzioterapie</t>
  </si>
  <si>
    <t>P0915D360001</t>
  </si>
  <si>
    <t>Kineziologie a rehabilitace</t>
  </si>
  <si>
    <t>M0911A350002</t>
  </si>
  <si>
    <t>P0912D350015</t>
  </si>
  <si>
    <t>P0912D350016</t>
  </si>
  <si>
    <t>Anatomy, Histology and Embryology</t>
  </si>
  <si>
    <t>P0912D350026</t>
  </si>
  <si>
    <t>P0912D350027</t>
  </si>
  <si>
    <t>P0912D350028</t>
  </si>
  <si>
    <t>P0912D350029</t>
  </si>
  <si>
    <t>Experimental Surgery</t>
  </si>
  <si>
    <t>M0911A350007</t>
  </si>
  <si>
    <t>P0912D350018</t>
  </si>
  <si>
    <t>P0912D350019</t>
  </si>
  <si>
    <t>B0914A360002</t>
  </si>
  <si>
    <t>Laboratorní diagnostika ve zdravotnictví</t>
  </si>
  <si>
    <t>M0916A080001</t>
  </si>
  <si>
    <t>P0531D130007</t>
  </si>
  <si>
    <t>Bioorganic Chemistry</t>
  </si>
  <si>
    <t>P0531D130008</t>
  </si>
  <si>
    <t>Bioorganická chemie</t>
  </si>
  <si>
    <t>P0914D360003</t>
  </si>
  <si>
    <t>Bioanalytické metody</t>
  </si>
  <si>
    <t>P0916D080001</t>
  </si>
  <si>
    <t>Klinická a sociální farmacie</t>
  </si>
  <si>
    <t>P0916D080002</t>
  </si>
  <si>
    <t>Farmakognosie a nutraceutika</t>
  </si>
  <si>
    <t>P0916D080003</t>
  </si>
  <si>
    <t>Pharmacognosy and Nutraceuticals</t>
  </si>
  <si>
    <t>P0916D080004</t>
  </si>
  <si>
    <t>Farmaceutická technologie</t>
  </si>
  <si>
    <t>P0916D080005</t>
  </si>
  <si>
    <t>Pharmaceutical Technology</t>
  </si>
  <si>
    <t>P0916D080006</t>
  </si>
  <si>
    <t>Clinical and social pharmacy</t>
  </si>
  <si>
    <t>P0916D080007</t>
  </si>
  <si>
    <t>Farmaceutická analýza</t>
  </si>
  <si>
    <t>P0916D080008</t>
  </si>
  <si>
    <t>Farmaceutická chemie</t>
  </si>
  <si>
    <t>P0916D080009</t>
  </si>
  <si>
    <t>P0916D080010</t>
  </si>
  <si>
    <t>Pharmaceutical Analysis</t>
  </si>
  <si>
    <t>P0916D080011</t>
  </si>
  <si>
    <t>Pharmaceutical Chemistry</t>
  </si>
  <si>
    <t>P0916D080012</t>
  </si>
  <si>
    <t>Pharmacology and Toxicology</t>
  </si>
  <si>
    <t>B0111A190004</t>
  </si>
  <si>
    <t>Andragogika a personální řízení</t>
  </si>
  <si>
    <t>B0111A190010</t>
  </si>
  <si>
    <t>B0114A090006</t>
  </si>
  <si>
    <t>Český jazyk a literatura se zaměřením na vzdělávání</t>
  </si>
  <si>
    <t>B0114A090009</t>
  </si>
  <si>
    <t>Německý jazyk a literatura se zaměřením na vzdělávání</t>
  </si>
  <si>
    <t>B0114A090012</t>
  </si>
  <si>
    <t>Anglický jazyk a literatura se zaměřením na vzdělávání</t>
  </si>
  <si>
    <t>B0114A120002</t>
  </si>
  <si>
    <t>Historie se zaměřením na vzdělávání</t>
  </si>
  <si>
    <t>B0213A320004</t>
  </si>
  <si>
    <t>Estetika</t>
  </si>
  <si>
    <t>B0222A120010</t>
  </si>
  <si>
    <t>Archeologie pravěku a středověku</t>
  </si>
  <si>
    <t>B0222A120016</t>
  </si>
  <si>
    <t>Historie</t>
  </si>
  <si>
    <t>B0223A170001</t>
  </si>
  <si>
    <t>B0231A090001</t>
  </si>
  <si>
    <t>Bohemistika pro cizince</t>
  </si>
  <si>
    <t>B0231A090019</t>
  </si>
  <si>
    <t>Mezikulturní komunikace: překlad a tlumočení</t>
  </si>
  <si>
    <t>B0231A090020</t>
  </si>
  <si>
    <t>Východoevropská studia</t>
  </si>
  <si>
    <t>B0231A090021</t>
  </si>
  <si>
    <t>Blízkovýchodní studia</t>
  </si>
  <si>
    <t>B0231A090022</t>
  </si>
  <si>
    <t>Řecká a latinská studia</t>
  </si>
  <si>
    <t>B0231A090023</t>
  </si>
  <si>
    <t>Středoevropská studia</t>
  </si>
  <si>
    <t>B0231A090024</t>
  </si>
  <si>
    <t>Ruský jazyk a literatura</t>
  </si>
  <si>
    <t>B0231A090067</t>
  </si>
  <si>
    <t>Hebraistika a židovská studia</t>
  </si>
  <si>
    <t>B0231A090069</t>
  </si>
  <si>
    <t>Asijská studia</t>
  </si>
  <si>
    <t>B0231A090070</t>
  </si>
  <si>
    <t>Sinologie</t>
  </si>
  <si>
    <t>B0231A090071</t>
  </si>
  <si>
    <t>Jihovýchodoevropská studia</t>
  </si>
  <si>
    <t>B0232A090001</t>
  </si>
  <si>
    <t>Český jazyk a literatura</t>
  </si>
  <si>
    <t>B0232A090010</t>
  </si>
  <si>
    <t>Obecná lingvistika</t>
  </si>
  <si>
    <t>B0314A250006</t>
  </si>
  <si>
    <t>B0314A250007</t>
  </si>
  <si>
    <t>Etnologie a kulturní antropologie</t>
  </si>
  <si>
    <t>B0322A120003</t>
  </si>
  <si>
    <t>Archivnictví a pomocné vědy historické</t>
  </si>
  <si>
    <t>B0322P120001</t>
  </si>
  <si>
    <t>Veřejná správa a spisová služba</t>
  </si>
  <si>
    <t>B0923A240003</t>
  </si>
  <si>
    <t>N0111A190006</t>
  </si>
  <si>
    <t>N0111A190011</t>
  </si>
  <si>
    <t>N0114A300058</t>
  </si>
  <si>
    <t>Učitelství českého jazyka a literatury pro střední školy</t>
  </si>
  <si>
    <t>N0114A300059</t>
  </si>
  <si>
    <t>Učitelství francouzského jazyka a literatury pro střední školy</t>
  </si>
  <si>
    <t>N0114A300061</t>
  </si>
  <si>
    <t>Učitelství latinského jazyka a literatury pro střední školy</t>
  </si>
  <si>
    <t>N0213A320004</t>
  </si>
  <si>
    <t>Dějiny umění</t>
  </si>
  <si>
    <t>N0215A320002</t>
  </si>
  <si>
    <t>Divadelní věda</t>
  </si>
  <si>
    <t>N0221A100010</t>
  </si>
  <si>
    <t>Religionistika</t>
  </si>
  <si>
    <t>N0222A120009</t>
  </si>
  <si>
    <t>Iberoamerikanistika</t>
  </si>
  <si>
    <t>N0222A120010</t>
  </si>
  <si>
    <t>N0222A120011</t>
  </si>
  <si>
    <t>Egypt a Přední východ ve starověku</t>
  </si>
  <si>
    <t>N0222A120024</t>
  </si>
  <si>
    <t>Historie – hospodářské a sociální dějiny</t>
  </si>
  <si>
    <t>N0222A120025</t>
  </si>
  <si>
    <t>Historie – obecné dějiny</t>
  </si>
  <si>
    <t>N0223A170002</t>
  </si>
  <si>
    <t>N0231A090013</t>
  </si>
  <si>
    <t>N0231A090014</t>
  </si>
  <si>
    <t>N0231A090015</t>
  </si>
  <si>
    <t>Italianistika</t>
  </si>
  <si>
    <t>N0231A090053</t>
  </si>
  <si>
    <t>N0231A090054</t>
  </si>
  <si>
    <t>N0288A120001</t>
  </si>
  <si>
    <t>N0313A230003</t>
  </si>
  <si>
    <t>N0314A250005</t>
  </si>
  <si>
    <t>N0314A250006</t>
  </si>
  <si>
    <t>N0321A200001</t>
  </si>
  <si>
    <t>Studia nových médií</t>
  </si>
  <si>
    <t>N0322A120002</t>
  </si>
  <si>
    <t>N0322A180001</t>
  </si>
  <si>
    <t>Informace, média a knižní kultura</t>
  </si>
  <si>
    <t>N0322P120001</t>
  </si>
  <si>
    <t>N0923A240003</t>
  </si>
  <si>
    <t>P0111D190006</t>
  </si>
  <si>
    <t>P0211D320001</t>
  </si>
  <si>
    <t>Filmová věda</t>
  </si>
  <si>
    <t>P0213D320002</t>
  </si>
  <si>
    <t>Dějiny výtvarného umění</t>
  </si>
  <si>
    <t>P0215D320004</t>
  </si>
  <si>
    <t>P0215D320005</t>
  </si>
  <si>
    <t>Hudební věda</t>
  </si>
  <si>
    <t>P0222D120003</t>
  </si>
  <si>
    <t>P0222D120015</t>
  </si>
  <si>
    <t>P0222D120020</t>
  </si>
  <si>
    <t>Klasická archeologie</t>
  </si>
  <si>
    <t>P0223D170002</t>
  </si>
  <si>
    <t>P0231D090008</t>
  </si>
  <si>
    <t>Translatologie</t>
  </si>
  <si>
    <t>P0232D090019</t>
  </si>
  <si>
    <t>P0232D090021</t>
  </si>
  <si>
    <t>Korpusová a teoretická lingvistika</t>
  </si>
  <si>
    <t>P0288D090001</t>
  </si>
  <si>
    <t>Dějiny a kultury Asie</t>
  </si>
  <si>
    <t>P0312D200014</t>
  </si>
  <si>
    <t>P0313D230006</t>
  </si>
  <si>
    <t>Klinická psychologie a psychologie zdraví</t>
  </si>
  <si>
    <t>P0313D230008</t>
  </si>
  <si>
    <t>Sociální psychologie a psychologie práce</t>
  </si>
  <si>
    <t>P0314D250006</t>
  </si>
  <si>
    <t>P0322D120001</t>
  </si>
  <si>
    <t>Pomocné vědy historické</t>
  </si>
  <si>
    <t>M0421A220002</t>
  </si>
  <si>
    <t>P0421D220006</t>
  </si>
  <si>
    <t>Teoretické právní vědy - Finanční právo a finanční věda</t>
  </si>
  <si>
    <t>P0421D220007</t>
  </si>
  <si>
    <t>Teoretické právní vědy - Evropské právo</t>
  </si>
  <si>
    <t>P0421D220008</t>
  </si>
  <si>
    <t>Teoretické právní vědy - Správní právo a správní věda</t>
  </si>
  <si>
    <t>P0421D220009</t>
  </si>
  <si>
    <t>Teoretické právní vědy - Mezinárodní právo soukromé a právo mezinárodního obchodu</t>
  </si>
  <si>
    <t>P0421D220010</t>
  </si>
  <si>
    <t>Teoretické právní vědy – Mezinárodní právo</t>
  </si>
  <si>
    <t>P0421D220011</t>
  </si>
  <si>
    <t>Teoretické právní vědy - Občanské právo</t>
  </si>
  <si>
    <t>P0421D220012</t>
  </si>
  <si>
    <t>Teoretické právní vědy – Obchodní právo</t>
  </si>
  <si>
    <t>P0421D220013</t>
  </si>
  <si>
    <t>Teoretické právní vědy – Pracovní právo a právo sociálního zabezpečení</t>
  </si>
  <si>
    <t>P0421D220014</t>
  </si>
  <si>
    <t>Teoretické právní vědy – Právní dějiny a římské právo</t>
  </si>
  <si>
    <t>P0421D220015</t>
  </si>
  <si>
    <t>Teoretické právní vědy – Právo životního prostředí</t>
  </si>
  <si>
    <t>P0421D220016</t>
  </si>
  <si>
    <t>Teoretické právní vědy – Trestní právo, kriminologie a kriminalistika</t>
  </si>
  <si>
    <t>P0421D220017</t>
  </si>
  <si>
    <t>Teoretické právní vědy – Teorie, filozofie a sociologie práva</t>
  </si>
  <si>
    <t>P0421D220018</t>
  </si>
  <si>
    <t>Teoretické právní vědy – Ústavní právo a státověda</t>
  </si>
  <si>
    <t>B0312A200008</t>
  </si>
  <si>
    <t>Politologie a mezinárodní vztahy</t>
  </si>
  <si>
    <t>B0312A200009</t>
  </si>
  <si>
    <t>Politologie a veřejná politika</t>
  </si>
  <si>
    <t>B0312A200011</t>
  </si>
  <si>
    <t>Teritoriální studia</t>
  </si>
  <si>
    <t>B0312A200012</t>
  </si>
  <si>
    <t>Česko-německá studia</t>
  </si>
  <si>
    <t>B0314A250004</t>
  </si>
  <si>
    <t>Sociologie a sociální politika</t>
  </si>
  <si>
    <t>B0314A250005</t>
  </si>
  <si>
    <t>B0321A180005</t>
  </si>
  <si>
    <t>Komunikační studia</t>
  </si>
  <si>
    <t>N0311A050010</t>
  </si>
  <si>
    <t>Ekonomický výzkum</t>
  </si>
  <si>
    <t>N0312A200011</t>
  </si>
  <si>
    <t>N0312A200013</t>
  </si>
  <si>
    <t>N0312A200016</t>
  </si>
  <si>
    <t>Německá a středoevropská studia / Deutsche und Mitteleuropäische Studien</t>
  </si>
  <si>
    <t>N0321A180003</t>
  </si>
  <si>
    <t>Mediální studia</t>
  </si>
  <si>
    <t>P0222D120014</t>
  </si>
  <si>
    <t>Moderní dějiny</t>
  </si>
  <si>
    <t>P0311D050001</t>
  </si>
  <si>
    <t>Ekonomie a finance</t>
  </si>
  <si>
    <t>P0311D050002</t>
  </si>
  <si>
    <t>Economics and Finance</t>
  </si>
  <si>
    <t>P0311D050005</t>
  </si>
  <si>
    <t>P0312D200001</t>
  </si>
  <si>
    <t>Mezinárodní vztahy</t>
  </si>
  <si>
    <t>P0312D200002</t>
  </si>
  <si>
    <t>International Relations</t>
  </si>
  <si>
    <t>P0312D200010</t>
  </si>
  <si>
    <t>P0312D200015</t>
  </si>
  <si>
    <t>Political Science</t>
  </si>
  <si>
    <t>P0312D250012</t>
  </si>
  <si>
    <t>Veřejná a sociální politika</t>
  </si>
  <si>
    <t>P0312D250013</t>
  </si>
  <si>
    <t>Public and Social Policy</t>
  </si>
  <si>
    <t>P0314D250004</t>
  </si>
  <si>
    <t>Sociology</t>
  </si>
  <si>
    <t>P0314D250005</t>
  </si>
  <si>
    <t>B0288A250001</t>
  </si>
  <si>
    <t>Studium humanitní vzdělanosti</t>
  </si>
  <si>
    <t>N0222A120002</t>
  </si>
  <si>
    <t>Dějiny moderní evropské kultury</t>
  </si>
  <si>
    <t>N0223A100008</t>
  </si>
  <si>
    <t>Filosofie v kontextu humanitních věd</t>
  </si>
  <si>
    <t>N0314A250001</t>
  </si>
  <si>
    <t>Historická sociologie</t>
  </si>
  <si>
    <t>N0314A250004</t>
  </si>
  <si>
    <t>Antropologická studia</t>
  </si>
  <si>
    <t>N0319A250001</t>
  </si>
  <si>
    <t>Sociální a kulturní ekologie</t>
  </si>
  <si>
    <t>N0321A180002</t>
  </si>
  <si>
    <t>Elektronická kultura a sémiotika</t>
  </si>
  <si>
    <t>N0988A240002</t>
  </si>
  <si>
    <t>Řízení a supervize v sociálních a zdravotnických organizacích</t>
  </si>
  <si>
    <t>P0222D120011</t>
  </si>
  <si>
    <t>Soudobé evropské kulturní dějiny</t>
  </si>
  <si>
    <t>P0223D100001</t>
  </si>
  <si>
    <t>Aplikovaná etika</t>
  </si>
  <si>
    <t>P0223D100003</t>
  </si>
  <si>
    <t>Německá a francouzská filozofie</t>
  </si>
  <si>
    <t>P0223D100005</t>
  </si>
  <si>
    <t>Deutsche und französische Philosophie</t>
  </si>
  <si>
    <t>P0223D100007</t>
  </si>
  <si>
    <t>Semiotics and Philosophy of Communication</t>
  </si>
  <si>
    <t>P0223D100008</t>
  </si>
  <si>
    <t>Sémiotika a filozofie komunikace</t>
  </si>
  <si>
    <t>P0312D250001</t>
  </si>
  <si>
    <t>Studia občanského sektoru</t>
  </si>
  <si>
    <t>P0314D030001</t>
  </si>
  <si>
    <t>Obecná antropologie</t>
  </si>
  <si>
    <t>P0314D030002</t>
  </si>
  <si>
    <t>General Antropology</t>
  </si>
  <si>
    <t>P0314D250001</t>
  </si>
  <si>
    <t>P0314D250002</t>
  </si>
  <si>
    <t>Historical Sociology</t>
  </si>
  <si>
    <t>P0388D030001</t>
  </si>
  <si>
    <t>Sociální ekologie</t>
  </si>
  <si>
    <t>P0388D250001</t>
  </si>
  <si>
    <t>Studia dlouhověkosti</t>
  </si>
  <si>
    <t>B0222A120011</t>
  </si>
  <si>
    <t>Dějiny evropské kultury</t>
  </si>
  <si>
    <t>N0222A120016</t>
  </si>
  <si>
    <t>N0223A100005</t>
  </si>
  <si>
    <t>P0213D320007</t>
  </si>
  <si>
    <t>Dějiny křesťanského umění</t>
  </si>
  <si>
    <t>P0222D120021</t>
  </si>
  <si>
    <t>Církevní a obecné dějiny</t>
  </si>
  <si>
    <t>B0923P240004</t>
  </si>
  <si>
    <t>Pastorační a sociální práce</t>
  </si>
  <si>
    <t>N0221A100007</t>
  </si>
  <si>
    <t>Komunitní krizová a pastorační práce - diakonika</t>
  </si>
  <si>
    <t>B0114A100002</t>
  </si>
  <si>
    <t>Náboženství a základy společenských věd se zaměřením na vzdělávání</t>
  </si>
  <si>
    <t>B0114P190001</t>
  </si>
  <si>
    <t>Sociální pedagogika</t>
  </si>
  <si>
    <t>B0221A100001</t>
  </si>
  <si>
    <t>Judaistika</t>
  </si>
  <si>
    <t>B0221A100002</t>
  </si>
  <si>
    <t>B0221A100007</t>
  </si>
  <si>
    <t>Husitská teologie</t>
  </si>
  <si>
    <t>B0223A100001</t>
  </si>
  <si>
    <t>Filozofie v kontextu židovské a křesťanské tradice</t>
  </si>
  <si>
    <t>B0923A240001</t>
  </si>
  <si>
    <t>Sociální a charitativní práce</t>
  </si>
  <si>
    <t>N0114A100002</t>
  </si>
  <si>
    <t>Učitelství náboženství a základů společenských věd pro střední školy</t>
  </si>
  <si>
    <t>N0221A100001</t>
  </si>
  <si>
    <t>N0221A100002</t>
  </si>
  <si>
    <t>N0221A100008</t>
  </si>
  <si>
    <t>N0223A100003</t>
  </si>
  <si>
    <t>N0923A240001</t>
  </si>
  <si>
    <t>B0114A330001</t>
  </si>
  <si>
    <t>Geografie se zaměřením na vzdělávání</t>
  </si>
  <si>
    <t>B0314A330001</t>
  </si>
  <si>
    <t>B0531A130005</t>
  </si>
  <si>
    <t>B0531A130006</t>
  </si>
  <si>
    <t>Medicinální chemie</t>
  </si>
  <si>
    <t>B0531A130007</t>
  </si>
  <si>
    <t>Chemie a fyzika materiálů</t>
  </si>
  <si>
    <t>B0532A330006</t>
  </si>
  <si>
    <t>Geotechnologie</t>
  </si>
  <si>
    <t>B0532A330007</t>
  </si>
  <si>
    <t>Aplikovaná geografie</t>
  </si>
  <si>
    <t>B0688A140003</t>
  </si>
  <si>
    <t>N0511A030010</t>
  </si>
  <si>
    <t>Reprodukční a vývojová biologie</t>
  </si>
  <si>
    <t>N0511A030011</t>
  </si>
  <si>
    <t>Evoluční biologie</t>
  </si>
  <si>
    <t>N0531A130005</t>
  </si>
  <si>
    <t>N0531A130006</t>
  </si>
  <si>
    <t>N0532A330006</t>
  </si>
  <si>
    <t>Geobiologie</t>
  </si>
  <si>
    <t>N0588A330001</t>
  </si>
  <si>
    <t>Sociální epidemiologie</t>
  </si>
  <si>
    <t>N0688A140004</t>
  </si>
  <si>
    <t>P0111D300003</t>
  </si>
  <si>
    <t>B0114A110001</t>
  </si>
  <si>
    <t>Fyzika se zaměřením na vzdělávání</t>
  </si>
  <si>
    <t>B0114A170004</t>
  </si>
  <si>
    <t>Matematika se zaměřením na vzdělávání</t>
  </si>
  <si>
    <t>B0533A110001</t>
  </si>
  <si>
    <t>B0541A170003</t>
  </si>
  <si>
    <t>Matematika pro informační technologie</t>
  </si>
  <si>
    <t>B0541A170011</t>
  </si>
  <si>
    <t>Obecná matematika</t>
  </si>
  <si>
    <t>B0541A170014</t>
  </si>
  <si>
    <t>Matematické modelování</t>
  </si>
  <si>
    <t>B0542A170001</t>
  </si>
  <si>
    <t>Finanční matematika</t>
  </si>
  <si>
    <t>B0613A140006</t>
  </si>
  <si>
    <t>P0111D110002</t>
  </si>
  <si>
    <t>Didaktika fyziky a obecné otázky fyziky</t>
  </si>
  <si>
    <t>P0533D110011</t>
  </si>
  <si>
    <t>Fyzika Země a planet</t>
  </si>
  <si>
    <t>P0533D110013</t>
  </si>
  <si>
    <t>Physics of Plasmas and Ionized Media</t>
  </si>
  <si>
    <t>P0533D110014</t>
  </si>
  <si>
    <t>Fyzika plazmatu a ionizovaných prostředí</t>
  </si>
  <si>
    <t>P0533D110015</t>
  </si>
  <si>
    <t>Fyzika povrchů a rozhraní</t>
  </si>
  <si>
    <t>P0533D110017</t>
  </si>
  <si>
    <t>Kvantová optika a optoelektronika</t>
  </si>
  <si>
    <t>P0533D110019</t>
  </si>
  <si>
    <t>Teoretická fyzika, astronomie a astrofyzika</t>
  </si>
  <si>
    <t>P0533D110021</t>
  </si>
  <si>
    <t>Particle and Nuclear Physics</t>
  </si>
  <si>
    <t>P0533D110022</t>
  </si>
  <si>
    <t>Částicová a jaderná fyzika</t>
  </si>
  <si>
    <t>P0533D110023</t>
  </si>
  <si>
    <t>Biofyzika, chemická a makromolekulární fyzika</t>
  </si>
  <si>
    <t>P0533D110024</t>
  </si>
  <si>
    <t>Biophysics, chemical and macromolecular physics</t>
  </si>
  <si>
    <t>P0533D110025</t>
  </si>
  <si>
    <t>Fyzika nanostruktur a nanomateriálů</t>
  </si>
  <si>
    <t>P0533D110027</t>
  </si>
  <si>
    <t>Physics of Condensed Matter and Materials Research</t>
  </si>
  <si>
    <t>P0533D110028</t>
  </si>
  <si>
    <t>Fyzika kondenzovaných látek a materiálový výzkum</t>
  </si>
  <si>
    <t>P0541D170010</t>
  </si>
  <si>
    <t>Numerická a výpočtová matematika</t>
  </si>
  <si>
    <t>P0541D170012</t>
  </si>
  <si>
    <t>Matematické a počítačové modelování</t>
  </si>
  <si>
    <t>P0541D170013</t>
  </si>
  <si>
    <t>Obecné otázky matematiky a informatiky</t>
  </si>
  <si>
    <t>P0541D170015</t>
  </si>
  <si>
    <t>Matematická analýza</t>
  </si>
  <si>
    <t>P0541D170016</t>
  </si>
  <si>
    <t>Mathematical Analysis</t>
  </si>
  <si>
    <t>P0541D170019</t>
  </si>
  <si>
    <t>Algebra, teorie čísel a matematická logika</t>
  </si>
  <si>
    <t>P0541D170020</t>
  </si>
  <si>
    <t>Algebra, number theory, and mathematical logic</t>
  </si>
  <si>
    <t>P0542D170001</t>
  </si>
  <si>
    <t>Pravděpodobnost a statistika, ekonometrie a finanční matematika</t>
  </si>
  <si>
    <t>P0613D140007</t>
  </si>
  <si>
    <t>Informatika - teorie, diskrétní modely a optimalizace</t>
  </si>
  <si>
    <t>P0613D140009</t>
  </si>
  <si>
    <t>Informatika - Softwarové systémy</t>
  </si>
  <si>
    <t>P0613D140012</t>
  </si>
  <si>
    <t>Informatika - Vizuální výpočty a počítačové hry</t>
  </si>
  <si>
    <t>P0619D140001</t>
  </si>
  <si>
    <t>Matematická lingvistika</t>
  </si>
  <si>
    <t>P0619D140002</t>
  </si>
  <si>
    <t>Computational linguistics</t>
  </si>
  <si>
    <t>P0619D140003</t>
  </si>
  <si>
    <t>Teoretická informatika a umělá inteligence</t>
  </si>
  <si>
    <t>B0413A190001</t>
  </si>
  <si>
    <t>Školský management</t>
  </si>
  <si>
    <t>M0113A300005</t>
  </si>
  <si>
    <t>Učitelství pro 1. stupeň základní školy</t>
  </si>
  <si>
    <t>N0111A190001</t>
  </si>
  <si>
    <t>Andragogika a management vzdělávání</t>
  </si>
  <si>
    <t>N0288A120002</t>
  </si>
  <si>
    <t>Edukace a interpretace v oblasti kulturního dědictví</t>
  </si>
  <si>
    <t>P0111D190005</t>
  </si>
  <si>
    <t>Education</t>
  </si>
  <si>
    <t>P0111D300004</t>
  </si>
  <si>
    <t>Didactics of Chemistry</t>
  </si>
  <si>
    <t>P0111D300005</t>
  </si>
  <si>
    <t>Didaktika matematiky</t>
  </si>
  <si>
    <t>B0114A300050</t>
  </si>
  <si>
    <t>Tělesná výchova a sport se zaměřením na vzdělávání</t>
  </si>
  <si>
    <t>B0413A280001</t>
  </si>
  <si>
    <t>Management tělesné výchovy a sportu</t>
  </si>
  <si>
    <t>B1014A280003</t>
  </si>
  <si>
    <t>Aplikovaná tělesná výchova a sport osob se specifickými potřebami</t>
  </si>
  <si>
    <t>B1014A280004</t>
  </si>
  <si>
    <t>Trenér</t>
  </si>
  <si>
    <t>B1014A280006</t>
  </si>
  <si>
    <t>Kondiční trenér</t>
  </si>
  <si>
    <t>B1014A280009</t>
  </si>
  <si>
    <t>Vojenská tělovýchova, tělesná výchova a sport se zaměřením na vzdělávání</t>
  </si>
  <si>
    <t>N0114A300047</t>
  </si>
  <si>
    <t>Učitelství tělesné výchovy a vojenské tělovýchovy pro střední školy</t>
  </si>
  <si>
    <t>N0114A300048</t>
  </si>
  <si>
    <t>Učitelství tělesné výchovy pro střední školy</t>
  </si>
  <si>
    <t>N0413A280002</t>
  </si>
  <si>
    <t>N1014A280004</t>
  </si>
  <si>
    <t>Skončené NPU</t>
  </si>
  <si>
    <t>Př.fa</t>
  </si>
  <si>
    <t>LF PL</t>
  </si>
  <si>
    <t>Rozdělení 100 mil. Kč podle čl. 4 odst. 4.</t>
  </si>
  <si>
    <t>Dle 4.5.a)</t>
  </si>
  <si>
    <t>Dle 4.5.b)</t>
  </si>
  <si>
    <t>Dle 4.5 celkem</t>
  </si>
  <si>
    <t>Rozdělení 76 mil. Kč podle čl. 4 odst. 5.</t>
  </si>
  <si>
    <t>Zdroje na rozvoj fakult</t>
  </si>
  <si>
    <t>ÚDAUK dostává pouze příspěvek,proto:</t>
  </si>
  <si>
    <t>RUK, SBZ, CK a Nakladatelství dostávají pouze příspěvek, CTS pouze DKR, proto:</t>
  </si>
  <si>
    <t>Podíl 2019</t>
  </si>
  <si>
    <t>1.1.c) a 4.6.</t>
  </si>
  <si>
    <t>2.1.c) a 4.6.</t>
  </si>
  <si>
    <t>4.7.</t>
  </si>
  <si>
    <t>1.1.d) a 4.7.</t>
  </si>
  <si>
    <t>2.1.c+d) a 4.7.</t>
  </si>
  <si>
    <t>Zdroje po odečtení 4.1, 4.2, 4.3, 4.4 a 4.5</t>
  </si>
  <si>
    <t>Zdroje na údržbu nemovitého majetku</t>
  </si>
  <si>
    <t>2014 až 2019</t>
  </si>
  <si>
    <t>4.1.g), 1.věta</t>
  </si>
  <si>
    <t>4.1.g), 2.věta</t>
  </si>
  <si>
    <t>2019 Přepočt</t>
  </si>
  <si>
    <t>Změna 2019/2018</t>
  </si>
  <si>
    <t>2019 Norm</t>
  </si>
  <si>
    <t>2019 KEN</t>
  </si>
  <si>
    <t>LM2018096</t>
  </si>
  <si>
    <t xml:space="preserve"> Laboratoř pro syntézu a měření materiálů</t>
  </si>
  <si>
    <t>LM2018101</t>
  </si>
  <si>
    <t xml:space="preserve"> Digitální výzkumná infrastruktura pro jazykové technologie, umění a humanitní vědy</t>
  </si>
  <si>
    <t xml:space="preserve">1.5.b) Výkonová část bez RUV </t>
  </si>
  <si>
    <t>Podpora vědy</t>
  </si>
  <si>
    <t xml:space="preserve">ÚD a archiv UK </t>
  </si>
  <si>
    <t xml:space="preserve">ÚVT </t>
  </si>
  <si>
    <t>Bilance SVV 2020</t>
  </si>
  <si>
    <t xml:space="preserve">Započítávané prostředky 2019 </t>
  </si>
  <si>
    <t xml:space="preserve">Započítávané prostředky 2020 </t>
  </si>
  <si>
    <t>Příspěvek 2020
 celkem</t>
  </si>
  <si>
    <t>Započítávané prostředky 2020 včetně koheze</t>
  </si>
  <si>
    <t>Specifický vysokoškolský výzkum 2020</t>
  </si>
  <si>
    <r>
      <t xml:space="preserve">4.5. </t>
    </r>
    <r>
      <rPr>
        <sz val="7"/>
        <rFont val="Tahoma"/>
        <family val="2"/>
      </rPr>
      <t>/4.4.b) v 2019/</t>
    </r>
  </si>
  <si>
    <r>
      <t>4.5.</t>
    </r>
    <r>
      <rPr>
        <sz val="7"/>
        <rFont val="Tahoma"/>
        <family val="2"/>
      </rPr>
      <t xml:space="preserve"> /4.4.b) v 2019/</t>
    </r>
  </si>
  <si>
    <r>
      <t>6.13.</t>
    </r>
    <r>
      <rPr>
        <sz val="7"/>
        <rFont val="Tahoma"/>
        <family val="2"/>
      </rPr>
      <t>/ 4.1.n)v2019/</t>
    </r>
  </si>
  <si>
    <t>Prostředky pro fixní část</t>
  </si>
  <si>
    <t>Fixní prostředky 2020 na jedno studium 2017</t>
  </si>
  <si>
    <t>Vážený
podíl</t>
  </si>
  <si>
    <r>
      <t xml:space="preserve">Ukazatel A 2020 </t>
    </r>
    <r>
      <rPr>
        <b/>
        <sz val="8"/>
        <rFont val="Tahoma"/>
        <family val="2"/>
      </rPr>
      <t>bez</t>
    </r>
    <r>
      <rPr>
        <sz val="8"/>
        <rFont val="Tahoma"/>
        <family val="2"/>
      </rPr>
      <t xml:space="preserve"> krácených součástí:</t>
    </r>
  </si>
  <si>
    <r>
      <t xml:space="preserve">Krácení
</t>
    </r>
    <r>
      <rPr>
        <sz val="8"/>
        <rFont val="Tahoma"/>
        <family val="2"/>
      </rPr>
      <t xml:space="preserve">(pokles za 2 roky)
a </t>
    </r>
    <r>
      <rPr>
        <b/>
        <sz val="8"/>
        <rFont val="Tahoma"/>
        <family val="2"/>
      </rPr>
      <t>přerozdělení</t>
    </r>
    <r>
      <rPr>
        <sz val="8"/>
        <rFont val="Tahoma"/>
        <family val="2"/>
      </rPr>
      <t xml:space="preserve"> součástem</t>
    </r>
  </si>
  <si>
    <r>
      <t xml:space="preserve">Ukazatel A
2020
</t>
    </r>
    <r>
      <rPr>
        <sz val="8"/>
        <rFont val="Tahoma"/>
        <family val="2"/>
      </rPr>
      <t>(před krácením)</t>
    </r>
  </si>
  <si>
    <r>
      <t>Ukazatel A
2020</t>
    </r>
    <r>
      <rPr>
        <sz val="8"/>
        <rFont val="Tahoma"/>
        <family val="2"/>
      </rPr>
      <t xml:space="preserve">
(nově)</t>
    </r>
  </si>
  <si>
    <t>Kč</t>
  </si>
  <si>
    <r>
      <t xml:space="preserve">Porovnání hodnot k 31. 10. 2019 s referenčními hodnotami </t>
    </r>
    <r>
      <rPr>
        <sz val="14"/>
        <color indexed="8"/>
        <rFont val="Calibri"/>
        <family val="2"/>
      </rPr>
      <t>(</t>
    </r>
    <r>
      <rPr>
        <b/>
        <sz val="14"/>
        <color indexed="8"/>
        <rFont val="Calibri"/>
        <family val="2"/>
      </rPr>
      <t xml:space="preserve">31. 10. </t>
    </r>
    <r>
      <rPr>
        <b/>
        <sz val="14"/>
        <color indexed="17"/>
        <rFont val="Calibri"/>
        <family val="2"/>
      </rPr>
      <t>2017</t>
    </r>
    <r>
      <rPr>
        <sz val="14"/>
        <color indexed="8"/>
        <rFont val="Calibri"/>
        <family val="2"/>
      </rPr>
      <t>)</t>
    </r>
  </si>
  <si>
    <r>
      <t xml:space="preserve">Počet chybějících studií </t>
    </r>
    <r>
      <rPr>
        <sz val="11"/>
        <color indexed="8"/>
        <rFont val="Calibri"/>
        <family val="2"/>
      </rPr>
      <t xml:space="preserve">(PchS) </t>
    </r>
    <r>
      <rPr>
        <b/>
        <sz val="11"/>
        <color indexed="8"/>
        <rFont val="Calibri"/>
        <family val="2"/>
      </rPr>
      <t xml:space="preserve">do referenční hodnoty </t>
    </r>
    <r>
      <rPr>
        <sz val="11"/>
        <color indexed="8"/>
        <rFont val="Calibri"/>
        <family val="2"/>
      </rPr>
      <t xml:space="preserve">(RH) </t>
    </r>
    <r>
      <rPr>
        <b/>
        <sz val="11"/>
        <color indexed="8"/>
        <rFont val="Calibri"/>
        <family val="2"/>
      </rPr>
      <t>2017 snížených o 10%</t>
    </r>
  </si>
  <si>
    <t>PchS</t>
  </si>
  <si>
    <t>RH 2017 - 10%</t>
  </si>
  <si>
    <r>
      <t xml:space="preserve">K rozpisu na programy Progres
</t>
    </r>
    <r>
      <rPr>
        <sz val="8"/>
        <rFont val="Tahoma"/>
        <family val="2"/>
      </rPr>
      <t>(bez bonifikací)</t>
    </r>
  </si>
  <si>
    <t>Výpočet</t>
  </si>
  <si>
    <t>K rozdělení celkem podle čl. 4,
odst. 5., písm. a)</t>
  </si>
  <si>
    <r>
      <t xml:space="preserve">Rozpis zdrojů dle podílu fakult
</t>
    </r>
    <r>
      <rPr>
        <sz val="8"/>
        <rFont val="Tahoma"/>
        <family val="2"/>
      </rPr>
      <t>(Kč)</t>
    </r>
  </si>
  <si>
    <t>4.5 Rozvoj
z DPV</t>
  </si>
  <si>
    <t>4.4 Majetek
z příspěvku</t>
  </si>
  <si>
    <t>3 Dotace
na SVV</t>
  </si>
  <si>
    <t>2 Podpora
vědy</t>
  </si>
  <si>
    <t>4.5 Rozvoj
z příspěvku</t>
  </si>
  <si>
    <t>4.6 RUK
z příspěvku</t>
  </si>
  <si>
    <t>4.6 RUK
z DPV</t>
  </si>
  <si>
    <t>DPV
celkem</t>
  </si>
  <si>
    <t xml:space="preserve">Příspěvek na údržbu nemovitého majetku a rozvoj </t>
  </si>
  <si>
    <t>Příspěvek na údržbu nemovitého majetku a rozvoj</t>
  </si>
  <si>
    <r>
      <t>6.14.</t>
    </r>
    <r>
      <rPr>
        <sz val="7"/>
        <rFont val="Tahoma"/>
        <family val="2"/>
      </rPr>
      <t xml:space="preserve"> </t>
    </r>
  </si>
  <si>
    <t xml:space="preserve">Dotace na ubytování a stravování studentů (ukazatel J) </t>
  </si>
  <si>
    <t>Zdroje na celouniverzitní aktivity z dotace na vědu, v tom:</t>
  </si>
  <si>
    <t>Zdroje na celouniverzitní aktivity z příspěvku na vzdělávací činnost, v tom:</t>
  </si>
  <si>
    <t>Zdroje na celouniverzitní aktivity, v tom:</t>
  </si>
  <si>
    <t xml:space="preserve">   na náklady na konverzi dat a přechod UK na integr.knihovní SW</t>
  </si>
  <si>
    <t xml:space="preserve">   na podporu přípravy projektů z ESF (program VVV, projekt 8. rámcového programu EU), na přihlášky patentů v rámci EU a na podporu prioritních rozvojových aktivit UK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</si>
</sst>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;[Red]\-#,##0\ "/>
    <numFmt numFmtId="167" formatCode="#,##0.000"/>
    <numFmt numFmtId="168" formatCode="#,##0.000\ ;[Red]\-#,##0.000\ "/>
    <numFmt numFmtId="169" formatCode="#,##0.0"/>
    <numFmt numFmtId="170" formatCode="#,##0.0\ ;[Red]\-#,##0.0\ "/>
    <numFmt numFmtId="171" formatCode="0.0"/>
    <numFmt numFmtId="172" formatCode="0.000"/>
    <numFmt numFmtId="173" formatCode="#,##0&quot; Kč&quot;;[Red]\-#,##0&quot; Kč&quot;"/>
    <numFmt numFmtId="174" formatCode="0.0%"/>
    <numFmt numFmtId="175" formatCode="#,###"/>
    <numFmt numFmtId="176" formatCode="#,##0&quot; Kč&quot;;\-#,##0&quot; Kč&quot;"/>
    <numFmt numFmtId="177" formatCode="0.000%"/>
    <numFmt numFmtId="178" formatCode="#,##0.00\ [$Kč-405];[Red]\-#,##0.00\ [$Kč-405]"/>
    <numFmt numFmtId="179" formatCode="0.0000%"/>
    <numFmt numFmtId="180" formatCode="#,##0\ ;[Red]\-#,##0\ ;&quot;– &quot;"/>
    <numFmt numFmtId="181" formatCode="#,##0.00\ ;[Red]\-#,##0.00\ "/>
    <numFmt numFmtId="182" formatCode="#,##0\ ;[Red]\-#,##0,"/>
    <numFmt numFmtId="183" formatCode="#,##0.000_ ;[Red]\-#,##0.000\ "/>
    <numFmt numFmtId="184" formatCode="#,##0.00000000"/>
    <numFmt numFmtId="185" formatCode="#,##0.0000000_ ;[Red]\-#,##0.0000000\ "/>
    <numFmt numFmtId="186" formatCode="#,##0.000000"/>
    <numFmt numFmtId="187" formatCode="0.00000000"/>
    <numFmt numFmtId="188" formatCode="0.000000"/>
    <numFmt numFmtId="189" formatCode="#,##0.0000\ [$Kč-405];[Red]\-#,##0.0000\ [$Kč-405]"/>
    <numFmt numFmtId="190" formatCode="#,##0.00000\ [$Kč-405];[Red]\-#,##0.00000\ [$Kč-405]"/>
    <numFmt numFmtId="191" formatCode="#,##0.000000\ [$Kč-405];[Red]\-#,##0.000000\ [$Kč-405]"/>
    <numFmt numFmtId="192" formatCode="#,##0.000\ [$Kč-405];[Red]\-#,##0.000\ [$Kč-405]"/>
    <numFmt numFmtId="193" formatCode="d/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#,##0.0000\ ;[Red]\-#,##0.0000\ "/>
    <numFmt numFmtId="199" formatCode="#,##0.00000\ ;[Red]\-#,##0.00000\ "/>
    <numFmt numFmtId="200" formatCode="#,##0.0_ ;[Red]\-#,##0.0\ "/>
    <numFmt numFmtId="201" formatCode="#,##0_ ;[Red]\-#,##0\ ;\–\ "/>
    <numFmt numFmtId="202" formatCode="#,##0.000000\ ;[Red]\-#,##0.000000\ "/>
    <numFmt numFmtId="203" formatCode="#,##0.0000000\ ;[Red]\-#,##0.0000000\ "/>
    <numFmt numFmtId="204" formatCode="#,##0.0000"/>
    <numFmt numFmtId="205" formatCode="0.0000"/>
    <numFmt numFmtId="206" formatCode="0.00000%"/>
    <numFmt numFmtId="207" formatCode="0.00000"/>
    <numFmt numFmtId="208" formatCode="0.0000000"/>
    <numFmt numFmtId="209" formatCode="#,##0.00_ ;[Red]\-#,##0.00\ "/>
    <numFmt numFmtId="210" formatCode="#,##0.0\ ;[Red]\-#,##0.0,"/>
    <numFmt numFmtId="211" formatCode="#,##0.00\ ;[Red]\-#,##0.00,"/>
    <numFmt numFmtId="212" formatCode="#,##0.00000"/>
    <numFmt numFmtId="213" formatCode="#,##0_ ;[Red]\-#,##0\ "/>
    <numFmt numFmtId="214" formatCode="0\ %"/>
    <numFmt numFmtId="215" formatCode="0.0000000%"/>
    <numFmt numFmtId="216" formatCode="#,##0.0_ ;[Red]\-#,##0.0\ ;\–\ "/>
    <numFmt numFmtId="217" formatCode="#,##0.0\ [$Kč-405];[Red]\-#,##0.0\ [$Kč-405]"/>
    <numFmt numFmtId="218" formatCode="#,##0\ [$Kč-405];[Red]\-#,##0\ [$Kč-405]"/>
    <numFmt numFmtId="219" formatCode="_(* #,##0_);_(* \(#,##0\);_(* &quot;-&quot;_);_(@_)"/>
    <numFmt numFmtId="220" formatCode="_(&quot;$&quot;* #,##0_);_(&quot;$&quot;* \(#,##0\);_(&quot;$&quot;* &quot;-&quot;_);_(@_)"/>
    <numFmt numFmtId="221" formatCode="_(* #,##0.00_);_(* \(#,##0.00\);_(* &quot;-&quot;??_);_(@_)"/>
    <numFmt numFmtId="222" formatCode="_(&quot;$&quot;* #,##0.00_);_(&quot;$&quot;* \(#,##0.00\);_(&quot;$&quot;* &quot;-&quot;??_);_(@_)"/>
    <numFmt numFmtId="223" formatCode="#,##0.00000000\ ;[Red]\-#,##0.00000000\ "/>
    <numFmt numFmtId="224" formatCode="#,##0.000000000\ ;[Red]\-#,##0.000000000\ "/>
  </numFmts>
  <fonts count="171">
    <font>
      <sz val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7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9"/>
      <name val="Tahoma"/>
      <family val="2"/>
    </font>
    <font>
      <b/>
      <sz val="8"/>
      <color indexed="22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7"/>
      <color indexed="10"/>
      <name val="Tahoma"/>
      <family val="2"/>
    </font>
    <font>
      <sz val="7"/>
      <color indexed="9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14"/>
      <color indexed="8"/>
      <name val="Calibri"/>
      <family val="2"/>
    </font>
    <font>
      <i/>
      <sz val="7"/>
      <name val="Tahoma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16"/>
      <name val="Arial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sz val="12"/>
      <color indexed="8"/>
      <name val="Calibri"/>
      <family val="2"/>
    </font>
    <font>
      <u val="single"/>
      <sz val="8"/>
      <color indexed="20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22"/>
      <name val="Tahoma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b/>
      <sz val="14"/>
      <color indexed="10"/>
      <name val="Tahoma"/>
      <family val="2"/>
    </font>
    <font>
      <sz val="8"/>
      <color indexed="41"/>
      <name val="Tahoma"/>
      <family val="2"/>
    </font>
    <font>
      <b/>
      <sz val="8"/>
      <color indexed="41"/>
      <name val="Tahoma"/>
      <family val="2"/>
    </font>
    <font>
      <sz val="8"/>
      <color indexed="24"/>
      <name val="Tahoma"/>
      <family val="2"/>
    </font>
    <font>
      <sz val="10"/>
      <color indexed="41"/>
      <name val="Tahoma"/>
      <family val="2"/>
    </font>
    <font>
      <i/>
      <sz val="11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i/>
      <sz val="8"/>
      <color indexed="23"/>
      <name val="Tahoma"/>
      <family val="2"/>
    </font>
    <font>
      <sz val="8"/>
      <color indexed="23"/>
      <name val="Tahoma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2"/>
      <color indexed="41"/>
      <name val="Calibri"/>
      <family val="2"/>
    </font>
    <font>
      <sz val="11"/>
      <color indexed="41"/>
      <name val="Calibri"/>
      <family val="2"/>
    </font>
    <font>
      <sz val="10"/>
      <color indexed="24"/>
      <name val="Arial"/>
      <family val="2"/>
    </font>
    <font>
      <b/>
      <i/>
      <sz val="14"/>
      <color indexed="8"/>
      <name val="Calibri"/>
      <family val="2"/>
    </font>
    <font>
      <i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8"/>
      <color indexed="15"/>
      <name val="Tahoma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8"/>
      <color theme="1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0" tint="-0.24997000396251678"/>
      <name val="Tahoma"/>
      <family val="2"/>
    </font>
    <font>
      <sz val="8"/>
      <color rgb="FF00B050"/>
      <name val="Tahoma"/>
      <family val="2"/>
    </font>
    <font>
      <sz val="8"/>
      <color rgb="FFFF0000"/>
      <name val="Tahoma"/>
      <family val="2"/>
    </font>
    <font>
      <sz val="11"/>
      <color rgb="FF00B050"/>
      <name val="Calibri"/>
      <family val="2"/>
    </font>
    <font>
      <b/>
      <sz val="14"/>
      <color rgb="FFFF0000"/>
      <name val="Tahoma"/>
      <family val="2"/>
    </font>
    <font>
      <sz val="8"/>
      <color theme="0" tint="-0.1499900072813034"/>
      <name val="Tahoma"/>
      <family val="2"/>
    </font>
    <font>
      <b/>
      <sz val="8"/>
      <color theme="0" tint="-0.1499900072813034"/>
      <name val="Tahoma"/>
      <family val="2"/>
    </font>
    <font>
      <b/>
      <sz val="8"/>
      <color theme="0" tint="-0.24997000396251678"/>
      <name val="Tahoma"/>
      <family val="2"/>
    </font>
    <font>
      <sz val="8"/>
      <color theme="0" tint="-0.3499799966812134"/>
      <name val="Tahoma"/>
      <family val="2"/>
    </font>
    <font>
      <sz val="10"/>
      <color theme="0" tint="-0.1499900072813034"/>
      <name val="Tahoma"/>
      <family val="2"/>
    </font>
    <font>
      <i/>
      <sz val="10"/>
      <color theme="0" tint="-0.4999699890613556"/>
      <name val="Tahoma"/>
      <family val="2"/>
    </font>
    <font>
      <b/>
      <i/>
      <sz val="10"/>
      <color theme="0" tint="-0.4999699890613556"/>
      <name val="Tahoma"/>
      <family val="2"/>
    </font>
    <font>
      <b/>
      <sz val="10"/>
      <color theme="0" tint="-0.4999699890613556"/>
      <name val="Tahoma"/>
      <family val="2"/>
    </font>
    <font>
      <sz val="10"/>
      <color theme="0" tint="-0.4999699890613556"/>
      <name val="Tahoma"/>
      <family val="2"/>
    </font>
    <font>
      <i/>
      <sz val="8"/>
      <color theme="0" tint="-0.4999699890613556"/>
      <name val="Tahoma"/>
      <family val="2"/>
    </font>
    <font>
      <sz val="8"/>
      <color theme="0" tint="-0.4999699890613556"/>
      <name val="Tahoma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sz val="8"/>
      <color theme="0"/>
      <name val="Tahoma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sz val="10"/>
      <color theme="0" tint="-0.3499799966812134"/>
      <name val="Arial"/>
      <family val="2"/>
    </font>
    <font>
      <b/>
      <i/>
      <sz val="14"/>
      <color theme="1"/>
      <name val="Calibri"/>
      <family val="2"/>
    </font>
    <font>
      <i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rgb="FF00B0F0"/>
      <name val="Tahoma"/>
      <family val="2"/>
    </font>
    <font>
      <sz val="9"/>
      <color theme="0"/>
      <name val="Calibri"/>
      <family val="2"/>
    </font>
  </fonts>
  <fills count="10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00B1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9F1BC"/>
        <bgColor indexed="64"/>
      </patternFill>
    </fill>
    <fill>
      <patternFill patternType="solid">
        <fgColor rgb="FFFFE46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rgb="FFFFFFFF"/>
      </right>
      <top style="medium"/>
      <bottom style="medium">
        <color rgb="FFFFFFFF"/>
      </bottom>
    </border>
    <border>
      <left style="medium">
        <color rgb="FFFFFFFF"/>
      </left>
      <right style="medium"/>
      <top style="medium"/>
      <bottom style="medium">
        <color rgb="FFFFFFFF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FFFF"/>
      </left>
      <right style="medium">
        <color rgb="FFFFFFFF"/>
      </right>
      <top style="medium">
        <color rgb="FF000000"/>
      </top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>
        <color indexed="63"/>
      </right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FFFFFF"/>
      </bottom>
    </border>
    <border>
      <left/>
      <right style="medium">
        <color rgb="FFFFFFFF"/>
      </right>
      <top style="medium">
        <color rgb="FF000000"/>
      </top>
      <bottom style="medium">
        <color rgb="FFFFFFFF"/>
      </bottom>
    </border>
    <border>
      <left style="medium">
        <color rgb="FFFFFFFF"/>
      </left>
      <right/>
      <top style="medium">
        <color rgb="FF000000"/>
      </top>
      <bottom style="medium">
        <color rgb="FFFFFFFF"/>
      </bottom>
    </border>
    <border>
      <left/>
      <right/>
      <top style="medium">
        <color rgb="FF000000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000000"/>
      </right>
      <top style="medium">
        <color rgb="FF000000"/>
      </top>
      <bottom style="medium">
        <color rgb="FFFFFFF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5" fillId="3" borderId="0" applyNumberFormat="0" applyBorder="0" applyAlignment="0" applyProtection="0"/>
    <xf numFmtId="0" fontId="2" fillId="4" borderId="0" applyNumberFormat="0" applyBorder="0" applyAlignment="0" applyProtection="0"/>
    <xf numFmtId="0" fontId="115" fillId="5" borderId="0" applyNumberFormat="0" applyBorder="0" applyAlignment="0" applyProtection="0"/>
    <xf numFmtId="0" fontId="2" fillId="6" borderId="0" applyNumberFormat="0" applyBorder="0" applyAlignment="0" applyProtection="0"/>
    <xf numFmtId="0" fontId="115" fillId="7" borderId="0" applyNumberFormat="0" applyBorder="0" applyAlignment="0" applyProtection="0"/>
    <xf numFmtId="0" fontId="2" fillId="8" borderId="0" applyNumberFormat="0" applyBorder="0" applyAlignment="0" applyProtection="0"/>
    <xf numFmtId="0" fontId="115" fillId="9" borderId="0" applyNumberFormat="0" applyBorder="0" applyAlignment="0" applyProtection="0"/>
    <xf numFmtId="0" fontId="2" fillId="10" borderId="0" applyNumberFormat="0" applyBorder="0" applyAlignment="0" applyProtection="0"/>
    <xf numFmtId="0" fontId="115" fillId="11" borderId="0" applyNumberFormat="0" applyBorder="0" applyAlignment="0" applyProtection="0"/>
    <xf numFmtId="0" fontId="2" fillId="12" borderId="0" applyNumberFormat="0" applyBorder="0" applyAlignment="0" applyProtection="0"/>
    <xf numFmtId="0" fontId="115" fillId="13" borderId="0" applyNumberFormat="0" applyBorder="0" applyAlignment="0" applyProtection="0"/>
    <xf numFmtId="0" fontId="2" fillId="14" borderId="0" applyNumberFormat="0" applyBorder="0" applyAlignment="0" applyProtection="0"/>
    <xf numFmtId="0" fontId="115" fillId="15" borderId="0" applyNumberFormat="0" applyBorder="0" applyAlignment="0" applyProtection="0"/>
    <xf numFmtId="0" fontId="2" fillId="4" borderId="0" applyNumberFormat="0" applyBorder="0" applyAlignment="0" applyProtection="0"/>
    <xf numFmtId="0" fontId="115" fillId="16" borderId="0" applyNumberFormat="0" applyBorder="0" applyAlignment="0" applyProtection="0"/>
    <xf numFmtId="0" fontId="2" fillId="17" borderId="0" applyNumberFormat="0" applyBorder="0" applyAlignment="0" applyProtection="0"/>
    <xf numFmtId="0" fontId="115" fillId="18" borderId="0" applyNumberFormat="0" applyBorder="0" applyAlignment="0" applyProtection="0"/>
    <xf numFmtId="0" fontId="2" fillId="19" borderId="0" applyNumberFormat="0" applyBorder="0" applyAlignment="0" applyProtection="0"/>
    <xf numFmtId="0" fontId="115" fillId="20" borderId="0" applyNumberFormat="0" applyBorder="0" applyAlignment="0" applyProtection="0"/>
    <xf numFmtId="0" fontId="2" fillId="14" borderId="0" applyNumberFormat="0" applyBorder="0" applyAlignment="0" applyProtection="0"/>
    <xf numFmtId="0" fontId="115" fillId="21" borderId="0" applyNumberFormat="0" applyBorder="0" applyAlignment="0" applyProtection="0"/>
    <xf numFmtId="0" fontId="2" fillId="19" borderId="0" applyNumberFormat="0" applyBorder="0" applyAlignment="0" applyProtection="0"/>
    <xf numFmtId="0" fontId="115" fillId="22" borderId="0" applyNumberFormat="0" applyBorder="0" applyAlignment="0" applyProtection="0"/>
    <xf numFmtId="0" fontId="3" fillId="14" borderId="0" applyNumberFormat="0" applyBorder="0" applyAlignment="0" applyProtection="0"/>
    <xf numFmtId="0" fontId="116" fillId="23" borderId="0" applyNumberFormat="0" applyBorder="0" applyAlignment="0" applyProtection="0"/>
    <xf numFmtId="0" fontId="3" fillId="4" borderId="0" applyNumberFormat="0" applyBorder="0" applyAlignment="0" applyProtection="0"/>
    <xf numFmtId="0" fontId="116" fillId="24" borderId="0" applyNumberFormat="0" applyBorder="0" applyAlignment="0" applyProtection="0"/>
    <xf numFmtId="0" fontId="3" fillId="17" borderId="0" applyNumberFormat="0" applyBorder="0" applyAlignment="0" applyProtection="0"/>
    <xf numFmtId="0" fontId="116" fillId="25" borderId="0" applyNumberFormat="0" applyBorder="0" applyAlignment="0" applyProtection="0"/>
    <xf numFmtId="0" fontId="3" fillId="19" borderId="0" applyNumberFormat="0" applyBorder="0" applyAlignment="0" applyProtection="0"/>
    <xf numFmtId="0" fontId="116" fillId="26" borderId="0" applyNumberFormat="0" applyBorder="0" applyAlignment="0" applyProtection="0"/>
    <xf numFmtId="0" fontId="3" fillId="27" borderId="0" applyNumberFormat="0" applyBorder="0" applyAlignment="0" applyProtection="0"/>
    <xf numFmtId="0" fontId="116" fillId="28" borderId="0" applyNumberFormat="0" applyBorder="0" applyAlignment="0" applyProtection="0"/>
    <xf numFmtId="0" fontId="3" fillId="29" borderId="0" applyNumberFormat="0" applyBorder="0" applyAlignment="0" applyProtection="0"/>
    <xf numFmtId="0" fontId="116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43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0" borderId="1" applyNumberFormat="0" applyFill="0" applyAlignment="0" applyProtection="0"/>
    <xf numFmtId="0" fontId="117" fillId="0" borderId="2" applyNumberFormat="0" applyFill="0" applyAlignment="0" applyProtection="0"/>
    <xf numFmtId="165" fontId="1" fillId="0" borderId="0" applyFill="0" applyBorder="0" applyAlignment="0" applyProtection="0"/>
    <xf numFmtId="165" fontId="115" fillId="0" borderId="0" applyFont="0" applyFill="0" applyBorder="0" applyAlignment="0" applyProtection="0"/>
    <xf numFmtId="164" fontId="1" fillId="0" borderId="0" applyFill="0" applyBorder="0" applyAlignment="0" applyProtection="0"/>
    <xf numFmtId="0" fontId="52" fillId="35" borderId="0" applyNumberFormat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36" borderId="0" applyNumberFormat="0" applyBorder="0" applyAlignment="0" applyProtection="0"/>
    <xf numFmtId="0" fontId="6" fillId="37" borderId="3" applyNumberFormat="0" applyAlignment="0" applyProtection="0"/>
    <xf numFmtId="0" fontId="121" fillId="38" borderId="4" applyNumberFormat="0" applyAlignment="0" applyProtection="0"/>
    <xf numFmtId="44" fontId="1" fillId="0" borderId="0" applyFill="0" applyBorder="0" applyAlignment="0" applyProtection="0"/>
    <xf numFmtId="44" fontId="115" fillId="0" borderId="0" applyFont="0" applyFill="0" applyBorder="0" applyAlignment="0" applyProtection="0"/>
    <xf numFmtId="42" fontId="1" fillId="0" borderId="0" applyFill="0" applyBorder="0" applyAlignment="0" applyProtection="0"/>
    <xf numFmtId="0" fontId="59" fillId="0" borderId="0" applyFont="0">
      <alignment/>
      <protection/>
    </xf>
    <xf numFmtId="0" fontId="7" fillId="0" borderId="5" applyNumberFormat="0" applyFill="0" applyAlignment="0" applyProtection="0"/>
    <xf numFmtId="0" fontId="122" fillId="0" borderId="6" applyNumberFormat="0" applyFill="0" applyAlignment="0" applyProtection="0"/>
    <xf numFmtId="0" fontId="8" fillId="0" borderId="7" applyNumberFormat="0" applyFill="0" applyAlignment="0" applyProtection="0"/>
    <xf numFmtId="0" fontId="123" fillId="0" borderId="8" applyNumberFormat="0" applyFill="0" applyAlignment="0" applyProtection="0"/>
    <xf numFmtId="0" fontId="9" fillId="0" borderId="9" applyNumberFormat="0" applyFill="0" applyAlignment="0" applyProtection="0"/>
    <xf numFmtId="0" fontId="124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10" fillId="19" borderId="0" applyNumberFormat="0" applyBorder="0" applyAlignment="0" applyProtection="0"/>
    <xf numFmtId="0" fontId="127" fillId="40" borderId="0" applyNumberFormat="0" applyBorder="0" applyAlignment="0" applyProtection="0"/>
    <xf numFmtId="0" fontId="1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28" fillId="0" borderId="0">
      <alignment/>
      <protection/>
    </xf>
    <xf numFmtId="0" fontId="115" fillId="0" borderId="0">
      <alignment/>
      <protection/>
    </xf>
    <xf numFmtId="0" fontId="1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47" fillId="39" borderId="11" applyNumberFormat="0" applyAlignment="0" applyProtection="0"/>
    <xf numFmtId="9" fontId="128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0" fillId="8" borderId="12" applyNumberFormat="0" applyAlignment="0" applyProtection="0"/>
    <xf numFmtId="0" fontId="115" fillId="41" borderId="13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5" fillId="0" borderId="0" applyFont="0" applyFill="0" applyBorder="0" applyAlignment="0" applyProtection="0"/>
    <xf numFmtId="214" fontId="0" fillId="0" borderId="0" applyFill="0" applyBorder="0" applyAlignment="0" applyProtection="0"/>
    <xf numFmtId="9" fontId="115" fillId="0" borderId="0" applyFont="0" applyFill="0" applyBorder="0" applyAlignment="0" applyProtection="0"/>
    <xf numFmtId="0" fontId="12" fillId="0" borderId="14" applyNumberFormat="0" applyFill="0" applyAlignment="0" applyProtection="0"/>
    <xf numFmtId="0" fontId="131" fillId="0" borderId="15" applyNumberFormat="0" applyFill="0" applyAlignment="0" applyProtection="0"/>
    <xf numFmtId="0" fontId="13" fillId="12" borderId="0" applyNumberFormat="0" applyBorder="0" applyAlignment="0" applyProtection="0"/>
    <xf numFmtId="0" fontId="132" fillId="42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5" fillId="4" borderId="11" applyNumberFormat="0" applyAlignment="0" applyProtection="0"/>
    <xf numFmtId="0" fontId="134" fillId="44" borderId="16" applyNumberFormat="0" applyAlignment="0" applyProtection="0"/>
    <xf numFmtId="0" fontId="17" fillId="17" borderId="11" applyNumberFormat="0" applyAlignment="0" applyProtection="0"/>
    <xf numFmtId="0" fontId="135" fillId="45" borderId="16" applyNumberFormat="0" applyAlignment="0" applyProtection="0"/>
    <xf numFmtId="0" fontId="18" fillId="17" borderId="17" applyNumberFormat="0" applyAlignment="0" applyProtection="0"/>
    <xf numFmtId="0" fontId="136" fillId="45" borderId="18" applyNumberFormat="0" applyAlignment="0" applyProtection="0"/>
    <xf numFmtId="0" fontId="1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116" fillId="46" borderId="0" applyNumberFormat="0" applyBorder="0" applyAlignment="0" applyProtection="0"/>
    <xf numFmtId="0" fontId="3" fillId="47" borderId="0" applyNumberFormat="0" applyBorder="0" applyAlignment="0" applyProtection="0"/>
    <xf numFmtId="0" fontId="116" fillId="48" borderId="0" applyNumberFormat="0" applyBorder="0" applyAlignment="0" applyProtection="0"/>
    <xf numFmtId="0" fontId="3" fillId="37" borderId="0" applyNumberFormat="0" applyBorder="0" applyAlignment="0" applyProtection="0"/>
    <xf numFmtId="0" fontId="116" fillId="49" borderId="0" applyNumberFormat="0" applyBorder="0" applyAlignment="0" applyProtection="0"/>
    <xf numFmtId="0" fontId="3" fillId="50" borderId="0" applyNumberFormat="0" applyBorder="0" applyAlignment="0" applyProtection="0"/>
    <xf numFmtId="0" fontId="116" fillId="51" borderId="0" applyNumberFormat="0" applyBorder="0" applyAlignment="0" applyProtection="0"/>
    <xf numFmtId="0" fontId="3" fillId="52" borderId="0" applyNumberFormat="0" applyBorder="0" applyAlignment="0" applyProtection="0"/>
    <xf numFmtId="0" fontId="116" fillId="53" borderId="0" applyNumberFormat="0" applyBorder="0" applyAlignment="0" applyProtection="0"/>
    <xf numFmtId="0" fontId="3" fillId="29" borderId="0" applyNumberFormat="0" applyBorder="0" applyAlignment="0" applyProtection="0"/>
    <xf numFmtId="0" fontId="116" fillId="54" borderId="0" applyNumberFormat="0" applyBorder="0" applyAlignment="0" applyProtection="0"/>
  </cellStyleXfs>
  <cellXfs count="1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7" fillId="0" borderId="0" xfId="0" applyFont="1" applyAlignment="1">
      <alignment/>
    </xf>
    <xf numFmtId="166" fontId="25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27" fillId="19" borderId="19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left"/>
    </xf>
    <xf numFmtId="49" fontId="27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10" fontId="0" fillId="0" borderId="19" xfId="182" applyNumberFormat="1" applyFont="1" applyFill="1" applyBorder="1" applyAlignment="1" applyProtection="1">
      <alignment/>
      <protection/>
    </xf>
    <xf numFmtId="3" fontId="0" fillId="0" borderId="22" xfId="0" applyNumberFormat="1" applyBorder="1" applyAlignment="1">
      <alignment/>
    </xf>
    <xf numFmtId="10" fontId="0" fillId="0" borderId="0" xfId="0" applyNumberFormat="1" applyAlignment="1">
      <alignment/>
    </xf>
    <xf numFmtId="49" fontId="27" fillId="12" borderId="20" xfId="0" applyNumberFormat="1" applyFont="1" applyFill="1" applyBorder="1" applyAlignment="1">
      <alignment horizontal="left"/>
    </xf>
    <xf numFmtId="0" fontId="0" fillId="12" borderId="2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27" fillId="0" borderId="19" xfId="0" applyFont="1" applyBorder="1" applyAlignment="1">
      <alignment horizontal="center" vertical="center" wrapText="1"/>
    </xf>
    <xf numFmtId="166" fontId="27" fillId="19" borderId="19" xfId="0" applyNumberFormat="1" applyFont="1" applyFill="1" applyBorder="1" applyAlignment="1">
      <alignment/>
    </xf>
    <xf numFmtId="0" fontId="31" fillId="0" borderId="0" xfId="0" applyFont="1" applyAlignment="1">
      <alignment/>
    </xf>
    <xf numFmtId="174" fontId="27" fillId="12" borderId="19" xfId="182" applyNumberFormat="1" applyFont="1" applyFill="1" applyBorder="1" applyAlignment="1" applyProtection="1">
      <alignment/>
      <protection/>
    </xf>
    <xf numFmtId="49" fontId="0" fillId="0" borderId="23" xfId="0" applyNumberFormat="1" applyFont="1" applyBorder="1" applyAlignment="1">
      <alignment horizontal="left"/>
    </xf>
    <xf numFmtId="166" fontId="0" fillId="19" borderId="19" xfId="0" applyNumberFormat="1" applyFill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5" fillId="6" borderId="0" xfId="0" applyNumberFormat="1" applyFont="1" applyFill="1" applyBorder="1" applyAlignment="1">
      <alignment horizontal="left"/>
    </xf>
    <xf numFmtId="0" fontId="25" fillId="6" borderId="0" xfId="0" applyFont="1" applyFill="1" applyBorder="1" applyAlignment="1">
      <alignment/>
    </xf>
    <xf numFmtId="166" fontId="0" fillId="6" borderId="0" xfId="0" applyNumberForma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166" fontId="0" fillId="0" borderId="19" xfId="0" applyNumberFormat="1" applyFill="1" applyBorder="1" applyAlignment="1">
      <alignment/>
    </xf>
    <xf numFmtId="166" fontId="27" fillId="0" borderId="19" xfId="0" applyNumberFormat="1" applyFont="1" applyFill="1" applyBorder="1" applyAlignment="1">
      <alignment/>
    </xf>
    <xf numFmtId="49" fontId="32" fillId="0" borderId="0" xfId="0" applyNumberFormat="1" applyFont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167" fontId="33" fillId="0" borderId="0" xfId="0" applyNumberFormat="1" applyFont="1" applyBorder="1" applyAlignment="1">
      <alignment/>
    </xf>
    <xf numFmtId="0" fontId="27" fillId="14" borderId="19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left"/>
    </xf>
    <xf numFmtId="167" fontId="0" fillId="0" borderId="0" xfId="0" applyNumberFormat="1" applyFont="1" applyAlignment="1">
      <alignment/>
    </xf>
    <xf numFmtId="166" fontId="27" fillId="14" borderId="19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66" fontId="0" fillId="0" borderId="19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19" borderId="19" xfId="0" applyNumberFormat="1" applyFont="1" applyFill="1" applyBorder="1" applyAlignment="1">
      <alignment horizontal="center" vertical="center" wrapText="1"/>
    </xf>
    <xf numFmtId="3" fontId="0" fillId="19" borderId="19" xfId="0" applyNumberFormat="1" applyFill="1" applyBorder="1" applyAlignment="1">
      <alignment/>
    </xf>
    <xf numFmtId="49" fontId="27" fillId="12" borderId="19" xfId="0" applyNumberFormat="1" applyFont="1" applyFill="1" applyBorder="1" applyAlignment="1">
      <alignment horizontal="left"/>
    </xf>
    <xf numFmtId="0" fontId="27" fillId="12" borderId="19" xfId="0" applyFont="1" applyFill="1" applyBorder="1" applyAlignment="1">
      <alignment/>
    </xf>
    <xf numFmtId="3" fontId="27" fillId="19" borderId="19" xfId="0" applyNumberFormat="1" applyFont="1" applyFill="1" applyBorder="1" applyAlignment="1">
      <alignment/>
    </xf>
    <xf numFmtId="49" fontId="27" fillId="6" borderId="26" xfId="0" applyNumberFormat="1" applyFont="1" applyFill="1" applyBorder="1" applyAlignment="1">
      <alignment horizontal="left"/>
    </xf>
    <xf numFmtId="0" fontId="27" fillId="6" borderId="0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25" xfId="0" applyFon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27" fillId="2" borderId="19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166" fontId="31" fillId="0" borderId="0" xfId="0" applyNumberFormat="1" applyFont="1" applyAlignment="1">
      <alignment/>
    </xf>
    <xf numFmtId="3" fontId="27" fillId="14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166" fontId="0" fillId="14" borderId="19" xfId="0" applyNumberFormat="1" applyFill="1" applyBorder="1" applyAlignment="1">
      <alignment/>
    </xf>
    <xf numFmtId="166" fontId="0" fillId="0" borderId="19" xfId="0" applyNumberFormat="1" applyBorder="1" applyAlignment="1">
      <alignment/>
    </xf>
    <xf numFmtId="0" fontId="27" fillId="12" borderId="20" xfId="0" applyFont="1" applyFill="1" applyBorder="1" applyAlignment="1">
      <alignment/>
    </xf>
    <xf numFmtId="166" fontId="27" fillId="0" borderId="19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49" fontId="27" fillId="6" borderId="0" xfId="0" applyNumberFormat="1" applyFont="1" applyFill="1" applyBorder="1" applyAlignment="1">
      <alignment horizontal="left"/>
    </xf>
    <xf numFmtId="182" fontId="0" fillId="0" borderId="19" xfId="0" applyNumberFormat="1" applyFill="1" applyBorder="1" applyAlignment="1">
      <alignment/>
    </xf>
    <xf numFmtId="166" fontId="34" fillId="6" borderId="19" xfId="0" applyNumberFormat="1" applyFont="1" applyFill="1" applyBorder="1" applyAlignment="1">
      <alignment/>
    </xf>
    <xf numFmtId="49" fontId="33" fillId="0" borderId="0" xfId="0" applyNumberFormat="1" applyFont="1" applyBorder="1" applyAlignment="1">
      <alignment horizontal="left"/>
    </xf>
    <xf numFmtId="167" fontId="31" fillId="0" borderId="0" xfId="0" applyNumberFormat="1" applyFont="1" applyAlignment="1">
      <alignment/>
    </xf>
    <xf numFmtId="49" fontId="0" fillId="0" borderId="31" xfId="0" applyNumberFormat="1" applyFont="1" applyFill="1" applyBorder="1" applyAlignment="1">
      <alignment horizontal="left"/>
    </xf>
    <xf numFmtId="166" fontId="27" fillId="12" borderId="19" xfId="0" applyNumberFormat="1" applyFont="1" applyFill="1" applyBorder="1" applyAlignment="1">
      <alignment/>
    </xf>
    <xf numFmtId="4" fontId="25" fillId="6" borderId="0" xfId="0" applyNumberFormat="1" applyFont="1" applyFill="1" applyBorder="1" applyAlignment="1">
      <alignment/>
    </xf>
    <xf numFmtId="167" fontId="35" fillId="6" borderId="0" xfId="0" applyNumberFormat="1" applyFont="1" applyFill="1" applyBorder="1" applyAlignment="1">
      <alignment/>
    </xf>
    <xf numFmtId="167" fontId="36" fillId="6" borderId="0" xfId="0" applyNumberFormat="1" applyFont="1" applyFill="1" applyBorder="1" applyAlignment="1">
      <alignment/>
    </xf>
    <xf numFmtId="49" fontId="25" fillId="0" borderId="27" xfId="0" applyNumberFormat="1" applyFont="1" applyFill="1" applyBorder="1" applyAlignment="1">
      <alignment horizontal="left"/>
    </xf>
    <xf numFmtId="49" fontId="25" fillId="0" borderId="28" xfId="0" applyNumberFormat="1" applyFont="1" applyFill="1" applyBorder="1" applyAlignment="1">
      <alignment horizontal="left"/>
    </xf>
    <xf numFmtId="49" fontId="25" fillId="0" borderId="25" xfId="0" applyNumberFormat="1" applyFont="1" applyFill="1" applyBorder="1" applyAlignment="1">
      <alignment horizontal="left"/>
    </xf>
    <xf numFmtId="49" fontId="0" fillId="12" borderId="23" xfId="0" applyNumberFormat="1" applyFill="1" applyBorder="1" applyAlignment="1">
      <alignment horizontal="left"/>
    </xf>
    <xf numFmtId="0" fontId="30" fillId="0" borderId="0" xfId="0" applyFont="1" applyAlignment="1">
      <alignment/>
    </xf>
    <xf numFmtId="0" fontId="27" fillId="2" borderId="19" xfId="0" applyFont="1" applyFill="1" applyBorder="1" applyAlignment="1">
      <alignment horizontal="center" vertical="center" wrapText="1"/>
    </xf>
    <xf numFmtId="166" fontId="0" fillId="2" borderId="19" xfId="0" applyNumberFormat="1" applyFill="1" applyBorder="1" applyAlignment="1">
      <alignment/>
    </xf>
    <xf numFmtId="166" fontId="27" fillId="2" borderId="19" xfId="0" applyNumberFormat="1" applyFont="1" applyFill="1" applyBorder="1" applyAlignment="1">
      <alignment/>
    </xf>
    <xf numFmtId="166" fontId="25" fillId="6" borderId="0" xfId="0" applyNumberFormat="1" applyFont="1" applyFill="1" applyBorder="1" applyAlignment="1">
      <alignment/>
    </xf>
    <xf numFmtId="166" fontId="25" fillId="19" borderId="0" xfId="0" applyNumberFormat="1" applyFont="1" applyFill="1" applyBorder="1" applyAlignment="1">
      <alignment/>
    </xf>
    <xf numFmtId="166" fontId="36" fillId="6" borderId="0" xfId="0" applyNumberFormat="1" applyFont="1" applyFill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7" fillId="0" borderId="31" xfId="0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14" borderId="19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172" fontId="0" fillId="19" borderId="19" xfId="0" applyNumberFormat="1" applyFill="1" applyBorder="1" applyAlignment="1">
      <alignment/>
    </xf>
    <xf numFmtId="3" fontId="0" fillId="14" borderId="19" xfId="0" applyNumberFormat="1" applyFill="1" applyBorder="1" applyAlignment="1">
      <alignment/>
    </xf>
    <xf numFmtId="172" fontId="0" fillId="14" borderId="19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49" fontId="0" fillId="0" borderId="24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3" fontId="0" fillId="19" borderId="34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172" fontId="0" fillId="19" borderId="34" xfId="0" applyNumberFormat="1" applyFill="1" applyBorder="1" applyAlignment="1">
      <alignment/>
    </xf>
    <xf numFmtId="3" fontId="0" fillId="14" borderId="34" xfId="0" applyNumberFormat="1" applyFill="1" applyBorder="1" applyAlignment="1">
      <alignment/>
    </xf>
    <xf numFmtId="172" fontId="0" fillId="14" borderId="34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172" fontId="0" fillId="2" borderId="34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24" xfId="0" applyNumberFormat="1" applyFill="1" applyBorder="1" applyAlignment="1">
      <alignment/>
    </xf>
    <xf numFmtId="0" fontId="0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49" fontId="0" fillId="0" borderId="32" xfId="0" applyNumberFormat="1" applyFont="1" applyBorder="1" applyAlignment="1">
      <alignment horizontal="right"/>
    </xf>
    <xf numFmtId="49" fontId="0" fillId="0" borderId="38" xfId="0" applyNumberFormat="1" applyFont="1" applyBorder="1" applyAlignment="1">
      <alignment horizontal="left"/>
    </xf>
    <xf numFmtId="3" fontId="0" fillId="19" borderId="22" xfId="0" applyNumberFormat="1" applyFill="1" applyBorder="1" applyAlignment="1">
      <alignment/>
    </xf>
    <xf numFmtId="172" fontId="0" fillId="19" borderId="22" xfId="0" applyNumberFormat="1" applyFill="1" applyBorder="1" applyAlignment="1">
      <alignment/>
    </xf>
    <xf numFmtId="3" fontId="0" fillId="14" borderId="22" xfId="0" applyNumberFormat="1" applyFill="1" applyBorder="1" applyAlignment="1">
      <alignment/>
    </xf>
    <xf numFmtId="172" fontId="0" fillId="14" borderId="22" xfId="0" applyNumberFormat="1" applyFill="1" applyBorder="1" applyAlignment="1">
      <alignment/>
    </xf>
    <xf numFmtId="3" fontId="0" fillId="2" borderId="22" xfId="0" applyNumberFormat="1" applyFill="1" applyBorder="1" applyAlignment="1">
      <alignment/>
    </xf>
    <xf numFmtId="172" fontId="0" fillId="2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32" xfId="0" applyNumberFormat="1" applyFill="1" applyBorder="1" applyAlignment="1">
      <alignment/>
    </xf>
    <xf numFmtId="49" fontId="0" fillId="0" borderId="39" xfId="0" applyNumberFormat="1" applyFont="1" applyBorder="1" applyAlignment="1">
      <alignment horizontal="left"/>
    </xf>
    <xf numFmtId="10" fontId="0" fillId="19" borderId="19" xfId="182" applyNumberFormat="1" applyFont="1" applyFill="1" applyBorder="1" applyAlignment="1" applyProtection="1">
      <alignment/>
      <protection/>
    </xf>
    <xf numFmtId="10" fontId="0" fillId="14" borderId="19" xfId="182" applyNumberFormat="1" applyFont="1" applyFill="1" applyBorder="1" applyAlignment="1" applyProtection="1">
      <alignment/>
      <protection/>
    </xf>
    <xf numFmtId="10" fontId="0" fillId="2" borderId="19" xfId="182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49" fontId="39" fillId="2" borderId="40" xfId="0" applyNumberFormat="1" applyFont="1" applyFill="1" applyBorder="1" applyAlignment="1">
      <alignment horizontal="center" wrapText="1"/>
    </xf>
    <xf numFmtId="166" fontId="23" fillId="2" borderId="40" xfId="0" applyNumberFormat="1" applyFont="1" applyFill="1" applyBorder="1" applyAlignment="1">
      <alignment wrapText="1"/>
    </xf>
    <xf numFmtId="168" fontId="19" fillId="2" borderId="40" xfId="0" applyNumberFormat="1" applyFont="1" applyFill="1" applyBorder="1" applyAlignment="1">
      <alignment wrapText="1"/>
    </xf>
    <xf numFmtId="49" fontId="20" fillId="2" borderId="40" xfId="0" applyNumberFormat="1" applyFont="1" applyFill="1" applyBorder="1" applyAlignment="1">
      <alignment horizontal="center" wrapText="1"/>
    </xf>
    <xf numFmtId="167" fontId="21" fillId="14" borderId="40" xfId="0" applyNumberFormat="1" applyFont="1" applyFill="1" applyBorder="1" applyAlignment="1">
      <alignment wrapText="1"/>
    </xf>
    <xf numFmtId="166" fontId="22" fillId="14" borderId="40" xfId="0" applyNumberFormat="1" applyFont="1" applyFill="1" applyBorder="1" applyAlignment="1">
      <alignment wrapText="1"/>
    </xf>
    <xf numFmtId="167" fontId="19" fillId="14" borderId="40" xfId="0" applyNumberFormat="1" applyFont="1" applyFill="1" applyBorder="1" applyAlignment="1">
      <alignment wrapText="1"/>
    </xf>
    <xf numFmtId="49" fontId="39" fillId="14" borderId="40" xfId="0" applyNumberFormat="1" applyFont="1" applyFill="1" applyBorder="1" applyAlignment="1">
      <alignment horizontal="center" wrapText="1"/>
    </xf>
    <xf numFmtId="166" fontId="22" fillId="0" borderId="40" xfId="0" applyNumberFormat="1" applyFont="1" applyFill="1" applyBorder="1" applyAlignment="1">
      <alignment wrapText="1"/>
    </xf>
    <xf numFmtId="49" fontId="21" fillId="0" borderId="40" xfId="0" applyNumberFormat="1" applyFont="1" applyFill="1" applyBorder="1" applyAlignment="1">
      <alignment horizontal="left" wrapText="1"/>
    </xf>
    <xf numFmtId="167" fontId="19" fillId="19" borderId="40" xfId="0" applyNumberFormat="1" applyFont="1" applyFill="1" applyBorder="1" applyAlignment="1">
      <alignment wrapText="1"/>
    </xf>
    <xf numFmtId="49" fontId="20" fillId="0" borderId="40" xfId="0" applyNumberFormat="1" applyFont="1" applyBorder="1" applyAlignment="1">
      <alignment horizontal="center" wrapText="1"/>
    </xf>
    <xf numFmtId="0" fontId="21" fillId="0" borderId="40" xfId="0" applyFont="1" applyFill="1" applyBorder="1" applyAlignment="1">
      <alignment wrapText="1"/>
    </xf>
    <xf numFmtId="167" fontId="19" fillId="55" borderId="40" xfId="0" applyNumberFormat="1" applyFont="1" applyFill="1" applyBorder="1" applyAlignment="1">
      <alignment wrapText="1"/>
    </xf>
    <xf numFmtId="166" fontId="23" fillId="55" borderId="40" xfId="0" applyNumberFormat="1" applyFont="1" applyFill="1" applyBorder="1" applyAlignment="1">
      <alignment wrapText="1"/>
    </xf>
    <xf numFmtId="49" fontId="20" fillId="55" borderId="40" xfId="0" applyNumberFormat="1" applyFont="1" applyFill="1" applyBorder="1" applyAlignment="1">
      <alignment horizontal="center" wrapText="1"/>
    </xf>
    <xf numFmtId="167" fontId="21" fillId="2" borderId="40" xfId="0" applyNumberFormat="1" applyFont="1" applyFill="1" applyBorder="1" applyAlignment="1">
      <alignment horizontal="right" wrapText="1"/>
    </xf>
    <xf numFmtId="166" fontId="23" fillId="14" borderId="40" xfId="0" applyNumberFormat="1" applyFont="1" applyFill="1" applyBorder="1" applyAlignment="1">
      <alignment wrapText="1"/>
    </xf>
    <xf numFmtId="49" fontId="20" fillId="14" borderId="40" xfId="0" applyNumberFormat="1" applyFont="1" applyFill="1" applyBorder="1" applyAlignment="1">
      <alignment horizontal="center" wrapText="1"/>
    </xf>
    <xf numFmtId="166" fontId="21" fillId="0" borderId="40" xfId="0" applyNumberFormat="1" applyFont="1" applyFill="1" applyBorder="1" applyAlignment="1">
      <alignment wrapText="1"/>
    </xf>
    <xf numFmtId="167" fontId="21" fillId="0" borderId="40" xfId="0" applyNumberFormat="1" applyFont="1" applyFill="1" applyBorder="1" applyAlignment="1">
      <alignment wrapText="1"/>
    </xf>
    <xf numFmtId="166" fontId="23" fillId="0" borderId="40" xfId="0" applyNumberFormat="1" applyFont="1" applyFill="1" applyBorder="1" applyAlignment="1">
      <alignment wrapText="1"/>
    </xf>
    <xf numFmtId="49" fontId="20" fillId="0" borderId="40" xfId="0" applyNumberFormat="1" applyFont="1" applyFill="1" applyBorder="1" applyAlignment="1">
      <alignment horizontal="center" wrapText="1"/>
    </xf>
    <xf numFmtId="0" fontId="19" fillId="0" borderId="40" xfId="0" applyFont="1" applyFill="1" applyBorder="1" applyAlignment="1">
      <alignment wrapText="1"/>
    </xf>
    <xf numFmtId="166" fontId="23" fillId="19" borderId="40" xfId="0" applyNumberFormat="1" applyFont="1" applyFill="1" applyBorder="1" applyAlignment="1">
      <alignment wrapText="1"/>
    </xf>
    <xf numFmtId="167" fontId="21" fillId="19" borderId="40" xfId="0" applyNumberFormat="1" applyFont="1" applyFill="1" applyBorder="1" applyAlignment="1">
      <alignment wrapText="1"/>
    </xf>
    <xf numFmtId="166" fontId="22" fillId="19" borderId="40" xfId="0" applyNumberFormat="1" applyFont="1" applyFill="1" applyBorder="1" applyAlignment="1">
      <alignment wrapText="1"/>
    </xf>
    <xf numFmtId="49" fontId="20" fillId="19" borderId="40" xfId="0" applyNumberFormat="1" applyFont="1" applyFill="1" applyBorder="1" applyAlignment="1">
      <alignment horizontal="center" wrapText="1"/>
    </xf>
    <xf numFmtId="166" fontId="19" fillId="0" borderId="40" xfId="0" applyNumberFormat="1" applyFont="1" applyFill="1" applyBorder="1" applyAlignment="1">
      <alignment wrapText="1"/>
    </xf>
    <xf numFmtId="49" fontId="39" fillId="0" borderId="40" xfId="0" applyNumberFormat="1" applyFont="1" applyBorder="1" applyAlignment="1">
      <alignment horizontal="center" wrapText="1"/>
    </xf>
    <xf numFmtId="167" fontId="19" fillId="0" borderId="40" xfId="0" applyNumberFormat="1" applyFont="1" applyFill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49" fontId="40" fillId="0" borderId="40" xfId="0" applyNumberFormat="1" applyFont="1" applyFill="1" applyBorder="1" applyAlignment="1">
      <alignment horizontal="center" wrapText="1"/>
    </xf>
    <xf numFmtId="9" fontId="0" fillId="0" borderId="40" xfId="182" applyFill="1" applyBorder="1" applyAlignment="1">
      <alignment wrapText="1"/>
    </xf>
    <xf numFmtId="167" fontId="22" fillId="0" borderId="40" xfId="0" applyNumberFormat="1" applyFont="1" applyFill="1" applyBorder="1" applyAlignment="1">
      <alignment wrapText="1"/>
    </xf>
    <xf numFmtId="168" fontId="19" fillId="19" borderId="40" xfId="0" applyNumberFormat="1" applyFont="1" applyFill="1" applyBorder="1" applyAlignment="1">
      <alignment wrapText="1"/>
    </xf>
    <xf numFmtId="168" fontId="21" fillId="19" borderId="40" xfId="0" applyNumberFormat="1" applyFont="1" applyFill="1" applyBorder="1" applyAlignment="1">
      <alignment wrapText="1"/>
    </xf>
    <xf numFmtId="168" fontId="22" fillId="19" borderId="40" xfId="0" applyNumberFormat="1" applyFont="1" applyFill="1" applyBorder="1" applyAlignment="1">
      <alignment wrapText="1"/>
    </xf>
    <xf numFmtId="0" fontId="20" fillId="14" borderId="40" xfId="0" applyFont="1" applyFill="1" applyBorder="1" applyAlignment="1">
      <alignment horizontal="center" wrapText="1"/>
    </xf>
    <xf numFmtId="168" fontId="21" fillId="14" borderId="40" xfId="0" applyNumberFormat="1" applyFont="1" applyFill="1" applyBorder="1" applyAlignment="1">
      <alignment wrapText="1"/>
    </xf>
    <xf numFmtId="168" fontId="21" fillId="0" borderId="40" xfId="0" applyNumberFormat="1" applyFont="1" applyFill="1" applyBorder="1" applyAlignment="1">
      <alignment wrapText="1"/>
    </xf>
    <xf numFmtId="0" fontId="20" fillId="0" borderId="41" xfId="0" applyFont="1" applyFill="1" applyBorder="1" applyAlignment="1">
      <alignment horizontal="center" vertical="center" wrapText="1"/>
    </xf>
    <xf numFmtId="0" fontId="21" fillId="19" borderId="42" xfId="0" applyFont="1" applyFill="1" applyBorder="1" applyAlignment="1">
      <alignment wrapText="1"/>
    </xf>
    <xf numFmtId="166" fontId="21" fillId="19" borderId="43" xfId="0" applyNumberFormat="1" applyFont="1" applyFill="1" applyBorder="1" applyAlignment="1">
      <alignment wrapText="1"/>
    </xf>
    <xf numFmtId="0" fontId="19" fillId="19" borderId="42" xfId="0" applyFont="1" applyFill="1" applyBorder="1" applyAlignment="1">
      <alignment wrapText="1"/>
    </xf>
    <xf numFmtId="0" fontId="19" fillId="0" borderId="42" xfId="0" applyFont="1" applyFill="1" applyBorder="1" applyAlignment="1">
      <alignment wrapText="1"/>
    </xf>
    <xf numFmtId="166" fontId="21" fillId="0" borderId="43" xfId="0" applyNumberFormat="1" applyFont="1" applyFill="1" applyBorder="1" applyAlignment="1">
      <alignment wrapText="1"/>
    </xf>
    <xf numFmtId="0" fontId="21" fillId="14" borderId="42" xfId="0" applyFont="1" applyFill="1" applyBorder="1" applyAlignment="1">
      <alignment wrapText="1"/>
    </xf>
    <xf numFmtId="166" fontId="21" fillId="14" borderId="43" xfId="0" applyNumberFormat="1" applyFont="1" applyFill="1" applyBorder="1" applyAlignment="1">
      <alignment wrapText="1"/>
    </xf>
    <xf numFmtId="0" fontId="21" fillId="2" borderId="42" xfId="0" applyFont="1" applyFill="1" applyBorder="1" applyAlignment="1">
      <alignment wrapText="1"/>
    </xf>
    <xf numFmtId="166" fontId="21" fillId="2" borderId="43" xfId="0" applyNumberFormat="1" applyFont="1" applyFill="1" applyBorder="1" applyAlignment="1">
      <alignment horizontal="right" wrapText="1"/>
    </xf>
    <xf numFmtId="0" fontId="19" fillId="55" borderId="42" xfId="0" applyFont="1" applyFill="1" applyBorder="1" applyAlignment="1">
      <alignment wrapText="1"/>
    </xf>
    <xf numFmtId="166" fontId="19" fillId="55" borderId="43" xfId="0" applyNumberFormat="1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19" fillId="0" borderId="42" xfId="0" applyFont="1" applyBorder="1" applyAlignment="1">
      <alignment wrapText="1"/>
    </xf>
    <xf numFmtId="49" fontId="19" fillId="19" borderId="42" xfId="0" applyNumberFormat="1" applyFont="1" applyFill="1" applyBorder="1" applyAlignment="1">
      <alignment horizontal="left" wrapText="1"/>
    </xf>
    <xf numFmtId="166" fontId="19" fillId="19" borderId="43" xfId="0" applyNumberFormat="1" applyFont="1" applyFill="1" applyBorder="1" applyAlignment="1">
      <alignment wrapText="1"/>
    </xf>
    <xf numFmtId="49" fontId="21" fillId="19" borderId="42" xfId="0" applyNumberFormat="1" applyFont="1" applyFill="1" applyBorder="1" applyAlignment="1">
      <alignment horizontal="left" wrapText="1"/>
    </xf>
    <xf numFmtId="49" fontId="21" fillId="19" borderId="42" xfId="0" applyNumberFormat="1" applyFont="1" applyFill="1" applyBorder="1" applyAlignment="1">
      <alignment horizontal="left" vertical="top" wrapText="1"/>
    </xf>
    <xf numFmtId="49" fontId="21" fillId="0" borderId="42" xfId="0" applyNumberFormat="1" applyFont="1" applyFill="1" applyBorder="1" applyAlignment="1">
      <alignment horizontal="left" wrapText="1"/>
    </xf>
    <xf numFmtId="0" fontId="19" fillId="14" borderId="42" xfId="0" applyFont="1" applyFill="1" applyBorder="1" applyAlignment="1">
      <alignment wrapText="1"/>
    </xf>
    <xf numFmtId="166" fontId="19" fillId="14" borderId="43" xfId="0" applyNumberFormat="1" applyFont="1" applyFill="1" applyBorder="1" applyAlignment="1">
      <alignment wrapText="1"/>
    </xf>
    <xf numFmtId="0" fontId="21" fillId="0" borderId="42" xfId="0" applyFont="1" applyBorder="1" applyAlignment="1">
      <alignment wrapText="1"/>
    </xf>
    <xf numFmtId="166" fontId="19" fillId="0" borderId="43" xfId="0" applyNumberFormat="1" applyFont="1" applyFill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2" fillId="0" borderId="42" xfId="0" applyFont="1" applyFill="1" applyBorder="1" applyAlignment="1">
      <alignment wrapText="1"/>
    </xf>
    <xf numFmtId="166" fontId="22" fillId="0" borderId="43" xfId="0" applyNumberFormat="1" applyFont="1" applyFill="1" applyBorder="1" applyAlignment="1">
      <alignment wrapText="1"/>
    </xf>
    <xf numFmtId="0" fontId="19" fillId="2" borderId="42" xfId="0" applyFont="1" applyFill="1" applyBorder="1" applyAlignment="1">
      <alignment wrapText="1"/>
    </xf>
    <xf numFmtId="166" fontId="19" fillId="2" borderId="43" xfId="0" applyNumberFormat="1" applyFont="1" applyFill="1" applyBorder="1" applyAlignment="1">
      <alignment wrapText="1"/>
    </xf>
    <xf numFmtId="0" fontId="24" fillId="19" borderId="42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vertical="center" wrapText="1"/>
    </xf>
    <xf numFmtId="0" fontId="0" fillId="56" borderId="19" xfId="0" applyFill="1" applyBorder="1" applyAlignment="1">
      <alignment/>
    </xf>
    <xf numFmtId="0" fontId="0" fillId="57" borderId="19" xfId="0" applyFill="1" applyBorder="1" applyAlignment="1">
      <alignment/>
    </xf>
    <xf numFmtId="0" fontId="115" fillId="0" borderId="0" xfId="124">
      <alignment/>
      <protection/>
    </xf>
    <xf numFmtId="0" fontId="27" fillId="12" borderId="40" xfId="124" applyFont="1" applyFill="1" applyBorder="1">
      <alignment/>
      <protection/>
    </xf>
    <xf numFmtId="49" fontId="115" fillId="0" borderId="40" xfId="124" applyNumberFormat="1" applyFont="1" applyBorder="1" applyAlignment="1">
      <alignment horizontal="left"/>
      <protection/>
    </xf>
    <xf numFmtId="166" fontId="1" fillId="0" borderId="0" xfId="124" applyNumberFormat="1" applyFont="1" applyFill="1" applyBorder="1">
      <alignment/>
      <protection/>
    </xf>
    <xf numFmtId="49" fontId="115" fillId="0" borderId="40" xfId="124" applyNumberFormat="1" applyFont="1" applyBorder="1" applyAlignment="1">
      <alignment horizontal="right"/>
      <protection/>
    </xf>
    <xf numFmtId="166" fontId="1" fillId="0" borderId="40" xfId="124" applyNumberFormat="1" applyFont="1" applyFill="1" applyBorder="1">
      <alignment/>
      <protection/>
    </xf>
    <xf numFmtId="0" fontId="27" fillId="0" borderId="40" xfId="0" applyFont="1" applyBorder="1" applyAlignment="1">
      <alignment horizontal="center" vertical="center" wrapText="1"/>
    </xf>
    <xf numFmtId="166" fontId="1" fillId="0" borderId="20" xfId="124" applyNumberFormat="1" applyFont="1" applyFill="1" applyBorder="1">
      <alignment/>
      <protection/>
    </xf>
    <xf numFmtId="0" fontId="115" fillId="0" borderId="0" xfId="124" applyFill="1" applyBorder="1">
      <alignment/>
      <protection/>
    </xf>
    <xf numFmtId="0" fontId="115" fillId="0" borderId="0" xfId="124" applyBorder="1">
      <alignment/>
      <protection/>
    </xf>
    <xf numFmtId="49" fontId="115" fillId="0" borderId="40" xfId="124" applyNumberFormat="1" applyFont="1" applyFill="1" applyBorder="1" applyAlignment="1">
      <alignment horizontal="right"/>
      <protection/>
    </xf>
    <xf numFmtId="49" fontId="115" fillId="0" borderId="40" xfId="124" applyNumberFormat="1" applyFont="1" applyFill="1" applyBorder="1" applyAlignment="1">
      <alignment horizontal="left"/>
      <protection/>
    </xf>
    <xf numFmtId="49" fontId="27" fillId="12" borderId="40" xfId="124" applyNumberFormat="1" applyFont="1" applyFill="1" applyBorder="1" applyAlignment="1">
      <alignment horizontal="left"/>
      <protection/>
    </xf>
    <xf numFmtId="166" fontId="115" fillId="0" borderId="40" xfId="124" applyNumberFormat="1" applyFill="1" applyBorder="1">
      <alignment/>
      <protection/>
    </xf>
    <xf numFmtId="166" fontId="117" fillId="58" borderId="40" xfId="124" applyNumberFormat="1" applyFont="1" applyFill="1" applyBorder="1">
      <alignment/>
      <protection/>
    </xf>
    <xf numFmtId="166" fontId="138" fillId="0" borderId="40" xfId="124" applyNumberFormat="1" applyFont="1" applyFill="1" applyBorder="1">
      <alignment/>
      <protection/>
    </xf>
    <xf numFmtId="166" fontId="139" fillId="58" borderId="40" xfId="124" applyNumberFormat="1" applyFont="1" applyFill="1" applyBorder="1">
      <alignment/>
      <protection/>
    </xf>
    <xf numFmtId="0" fontId="27" fillId="0" borderId="0" xfId="0" applyFont="1" applyBorder="1" applyAlignment="1">
      <alignment horizontal="center" vertical="center" wrapText="1"/>
    </xf>
    <xf numFmtId="0" fontId="115" fillId="0" borderId="0" xfId="124">
      <alignment/>
      <protection/>
    </xf>
    <xf numFmtId="0" fontId="115" fillId="0" borderId="0" xfId="124" applyFill="1">
      <alignment/>
      <protection/>
    </xf>
    <xf numFmtId="166" fontId="115" fillId="0" borderId="0" xfId="124" applyNumberFormat="1" applyFill="1">
      <alignment/>
      <protection/>
    </xf>
    <xf numFmtId="169" fontId="29" fillId="0" borderId="19" xfId="0" applyNumberFormat="1" applyFont="1" applyBorder="1" applyAlignment="1">
      <alignment/>
    </xf>
    <xf numFmtId="0" fontId="115" fillId="0" borderId="0" xfId="124">
      <alignment/>
      <protection/>
    </xf>
    <xf numFmtId="182" fontId="0" fillId="0" borderId="19" xfId="0" applyNumberFormat="1" applyFont="1" applyFill="1" applyBorder="1" applyAlignment="1">
      <alignment/>
    </xf>
    <xf numFmtId="49" fontId="0" fillId="13" borderId="20" xfId="0" applyNumberFormat="1" applyFont="1" applyFill="1" applyBorder="1" applyAlignment="1">
      <alignment horizontal="right"/>
    </xf>
    <xf numFmtId="49" fontId="0" fillId="13" borderId="21" xfId="0" applyNumberFormat="1" applyFont="1" applyFill="1" applyBorder="1" applyAlignment="1">
      <alignment horizontal="left"/>
    </xf>
    <xf numFmtId="182" fontId="0" fillId="13" borderId="19" xfId="0" applyNumberFormat="1" applyFont="1" applyFill="1" applyBorder="1" applyAlignment="1">
      <alignment/>
    </xf>
    <xf numFmtId="167" fontId="0" fillId="13" borderId="19" xfId="0" applyNumberFormat="1" applyFont="1" applyFill="1" applyBorder="1" applyAlignment="1">
      <alignment/>
    </xf>
    <xf numFmtId="166" fontId="0" fillId="13" borderId="19" xfId="0" applyNumberFormat="1" applyFont="1" applyFill="1" applyBorder="1" applyAlignment="1">
      <alignment/>
    </xf>
    <xf numFmtId="182" fontId="0" fillId="13" borderId="19" xfId="0" applyNumberFormat="1" applyFill="1" applyBorder="1" applyAlignment="1">
      <alignment/>
    </xf>
    <xf numFmtId="166" fontId="0" fillId="13" borderId="19" xfId="0" applyNumberFormat="1" applyFill="1" applyBorder="1" applyAlignment="1">
      <alignment/>
    </xf>
    <xf numFmtId="12" fontId="29" fillId="0" borderId="19" xfId="0" applyNumberFormat="1" applyFont="1" applyBorder="1" applyAlignment="1">
      <alignment/>
    </xf>
    <xf numFmtId="166" fontId="27" fillId="56" borderId="19" xfId="0" applyNumberFormat="1" applyFont="1" applyFill="1" applyBorder="1" applyAlignment="1">
      <alignment/>
    </xf>
    <xf numFmtId="166" fontId="27" fillId="59" borderId="19" xfId="0" applyNumberFormat="1" applyFont="1" applyFill="1" applyBorder="1" applyAlignment="1">
      <alignment/>
    </xf>
    <xf numFmtId="0" fontId="27" fillId="60" borderId="19" xfId="0" applyFont="1" applyFill="1" applyBorder="1" applyAlignment="1">
      <alignment horizontal="center" vertical="center" wrapText="1"/>
    </xf>
    <xf numFmtId="166" fontId="0" fillId="60" borderId="19" xfId="0" applyNumberFormat="1" applyFill="1" applyBorder="1" applyAlignment="1">
      <alignment/>
    </xf>
    <xf numFmtId="166" fontId="27" fillId="60" borderId="19" xfId="0" applyNumberFormat="1" applyFont="1" applyFill="1" applyBorder="1" applyAlignment="1">
      <alignment/>
    </xf>
    <xf numFmtId="166" fontId="0" fillId="59" borderId="19" xfId="0" applyNumberFormat="1" applyFill="1" applyBorder="1" applyAlignment="1">
      <alignment/>
    </xf>
    <xf numFmtId="0" fontId="27" fillId="61" borderId="19" xfId="0" applyFont="1" applyFill="1" applyBorder="1" applyAlignment="1">
      <alignment horizontal="center" vertical="center" wrapText="1"/>
    </xf>
    <xf numFmtId="166" fontId="0" fillId="61" borderId="19" xfId="0" applyNumberFormat="1" applyFill="1" applyBorder="1" applyAlignment="1">
      <alignment/>
    </xf>
    <xf numFmtId="166" fontId="27" fillId="61" borderId="19" xfId="0" applyNumberFormat="1" applyFont="1" applyFill="1" applyBorder="1" applyAlignment="1">
      <alignment/>
    </xf>
    <xf numFmtId="166" fontId="0" fillId="56" borderId="19" xfId="0" applyNumberFormat="1" applyFill="1" applyBorder="1" applyAlignment="1">
      <alignment/>
    </xf>
    <xf numFmtId="166" fontId="0" fillId="56" borderId="19" xfId="0" applyNumberFormat="1" applyFont="1" applyFill="1" applyBorder="1" applyAlignment="1">
      <alignment/>
    </xf>
    <xf numFmtId="166" fontId="0" fillId="59" borderId="19" xfId="0" applyNumberFormat="1" applyFont="1" applyFill="1" applyBorder="1" applyAlignment="1">
      <alignment/>
    </xf>
    <xf numFmtId="167" fontId="31" fillId="0" borderId="0" xfId="0" applyNumberFormat="1" applyFont="1" applyFill="1" applyAlignment="1">
      <alignment/>
    </xf>
    <xf numFmtId="166" fontId="140" fillId="0" borderId="0" xfId="0" applyNumberFormat="1" applyFont="1" applyAlignment="1">
      <alignment/>
    </xf>
    <xf numFmtId="3" fontId="27" fillId="12" borderId="19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117" fillId="0" borderId="0" xfId="0" applyFont="1" applyAlignment="1">
      <alignment horizontal="left" indent="1"/>
    </xf>
    <xf numFmtId="0" fontId="117" fillId="62" borderId="44" xfId="0" applyFont="1" applyFill="1" applyBorder="1" applyAlignment="1">
      <alignment horizontal="center" vertical="center" wrapText="1"/>
    </xf>
    <xf numFmtId="0" fontId="117" fillId="62" borderId="45" xfId="0" applyFont="1" applyFill="1" applyBorder="1" applyAlignment="1">
      <alignment horizontal="center" vertical="center" wrapText="1"/>
    </xf>
    <xf numFmtId="0" fontId="117" fillId="62" borderId="46" xfId="0" applyFont="1" applyFill="1" applyBorder="1" applyAlignment="1">
      <alignment horizontal="center" vertical="center" wrapText="1"/>
    </xf>
    <xf numFmtId="0" fontId="117" fillId="63" borderId="47" xfId="0" applyFont="1" applyFill="1" applyBorder="1" applyAlignment="1">
      <alignment horizontal="left" wrapText="1"/>
    </xf>
    <xf numFmtId="0" fontId="117" fillId="63" borderId="0" xfId="0" applyFont="1" applyFill="1" applyAlignment="1">
      <alignment horizontal="left" wrapText="1"/>
    </xf>
    <xf numFmtId="0" fontId="117" fillId="63" borderId="48" xfId="0" applyFont="1" applyFill="1" applyBorder="1" applyAlignment="1">
      <alignment horizontal="left" wrapText="1"/>
    </xf>
    <xf numFmtId="0" fontId="117" fillId="0" borderId="4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 wrapText="1"/>
    </xf>
    <xf numFmtId="0" fontId="117" fillId="64" borderId="47" xfId="0" applyFont="1" applyFill="1" applyBorder="1" applyAlignment="1">
      <alignment horizontal="left" wrapText="1"/>
    </xf>
    <xf numFmtId="0" fontId="0" fillId="64" borderId="0" xfId="0" applyFill="1" applyAlignment="1">
      <alignment horizontal="left" wrapText="1"/>
    </xf>
    <xf numFmtId="0" fontId="0" fillId="64" borderId="0" xfId="0" applyFill="1" applyAlignment="1">
      <alignment horizontal="center" wrapText="1"/>
    </xf>
    <xf numFmtId="0" fontId="0" fillId="64" borderId="48" xfId="0" applyFill="1" applyBorder="1" applyAlignment="1">
      <alignment horizontal="center" wrapText="1"/>
    </xf>
    <xf numFmtId="0" fontId="0" fillId="65" borderId="47" xfId="0" applyFill="1" applyBorder="1" applyAlignment="1">
      <alignment horizontal="left" wrapText="1"/>
    </xf>
    <xf numFmtId="0" fontId="0" fillId="65" borderId="0" xfId="0" applyFill="1" applyAlignment="1">
      <alignment horizontal="left" wrapText="1"/>
    </xf>
    <xf numFmtId="0" fontId="0" fillId="65" borderId="0" xfId="0" applyFill="1" applyAlignment="1">
      <alignment horizontal="center" wrapText="1"/>
    </xf>
    <xf numFmtId="0" fontId="117" fillId="66" borderId="47" xfId="0" applyFont="1" applyFill="1" applyBorder="1" applyAlignment="1">
      <alignment horizontal="left" wrapText="1"/>
    </xf>
    <xf numFmtId="0" fontId="117" fillId="66" borderId="0" xfId="0" applyFont="1" applyFill="1" applyAlignment="1">
      <alignment horizontal="left" wrapText="1"/>
    </xf>
    <xf numFmtId="0" fontId="117" fillId="66" borderId="0" xfId="0" applyFont="1" applyFill="1" applyAlignment="1">
      <alignment horizontal="center" wrapText="1"/>
    </xf>
    <xf numFmtId="0" fontId="117" fillId="66" borderId="48" xfId="0" applyFont="1" applyFill="1" applyBorder="1" applyAlignment="1">
      <alignment horizontal="center" wrapText="1"/>
    </xf>
    <xf numFmtId="0" fontId="117" fillId="0" borderId="40" xfId="124" applyFont="1" applyFill="1" applyBorder="1" applyAlignment="1">
      <alignment horizontal="center"/>
      <protection/>
    </xf>
    <xf numFmtId="0" fontId="115" fillId="0" borderId="40" xfId="124" applyFill="1" applyBorder="1">
      <alignment/>
      <protection/>
    </xf>
    <xf numFmtId="0" fontId="0" fillId="0" borderId="40" xfId="0" applyFill="1" applyBorder="1" applyAlignment="1">
      <alignment/>
    </xf>
    <xf numFmtId="49" fontId="0" fillId="0" borderId="40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left"/>
    </xf>
    <xf numFmtId="0" fontId="115" fillId="0" borderId="40" xfId="124" applyFill="1" applyBorder="1" applyAlignment="1">
      <alignment horizontal="center"/>
      <protection/>
    </xf>
    <xf numFmtId="3" fontId="115" fillId="0" borderId="40" xfId="124" applyNumberFormat="1" applyFill="1" applyBorder="1">
      <alignment/>
      <protection/>
    </xf>
    <xf numFmtId="2" fontId="115" fillId="0" borderId="40" xfId="124" applyNumberFormat="1" applyFill="1" applyBorder="1">
      <alignment/>
      <protection/>
    </xf>
    <xf numFmtId="10" fontId="115" fillId="0" borderId="40" xfId="124" applyNumberFormat="1" applyFill="1" applyBorder="1">
      <alignment/>
      <protection/>
    </xf>
    <xf numFmtId="0" fontId="0" fillId="0" borderId="40" xfId="0" applyBorder="1" applyAlignment="1">
      <alignment/>
    </xf>
    <xf numFmtId="49" fontId="27" fillId="67" borderId="40" xfId="0" applyNumberFormat="1" applyFont="1" applyFill="1" applyBorder="1" applyAlignment="1">
      <alignment horizontal="left"/>
    </xf>
    <xf numFmtId="0" fontId="0" fillId="67" borderId="40" xfId="0" applyFont="1" applyFill="1" applyBorder="1" applyAlignment="1">
      <alignment/>
    </xf>
    <xf numFmtId="0" fontId="115" fillId="58" borderId="40" xfId="124" applyFill="1" applyBorder="1" applyAlignment="1">
      <alignment horizontal="center"/>
      <protection/>
    </xf>
    <xf numFmtId="3" fontId="115" fillId="58" borderId="40" xfId="124" applyNumberFormat="1" applyFill="1" applyBorder="1">
      <alignment/>
      <protection/>
    </xf>
    <xf numFmtId="2" fontId="115" fillId="58" borderId="40" xfId="124" applyNumberFormat="1" applyFill="1" applyBorder="1">
      <alignment/>
      <protection/>
    </xf>
    <xf numFmtId="0" fontId="115" fillId="58" borderId="40" xfId="124" applyFill="1" applyBorder="1">
      <alignment/>
      <protection/>
    </xf>
    <xf numFmtId="10" fontId="115" fillId="58" borderId="40" xfId="124" applyNumberFormat="1" applyFill="1" applyBorder="1">
      <alignment/>
      <protection/>
    </xf>
    <xf numFmtId="0" fontId="14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9" fontId="0" fillId="0" borderId="50" xfId="0" applyNumberFormat="1" applyBorder="1" applyAlignment="1">
      <alignment/>
    </xf>
    <xf numFmtId="9" fontId="0" fillId="0" borderId="51" xfId="0" applyNumberFormat="1" applyBorder="1" applyAlignment="1">
      <alignment/>
    </xf>
    <xf numFmtId="3" fontId="27" fillId="19" borderId="4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left"/>
    </xf>
    <xf numFmtId="3" fontId="0" fillId="19" borderId="40" xfId="0" applyNumberFormat="1" applyFill="1" applyBorder="1" applyAlignment="1">
      <alignment/>
    </xf>
    <xf numFmtId="0" fontId="27" fillId="12" borderId="40" xfId="0" applyFont="1" applyFill="1" applyBorder="1" applyAlignment="1">
      <alignment/>
    </xf>
    <xf numFmtId="3" fontId="27" fillId="68" borderId="19" xfId="0" applyNumberFormat="1" applyFont="1" applyFill="1" applyBorder="1" applyAlignment="1">
      <alignment/>
    </xf>
    <xf numFmtId="0" fontId="0" fillId="13" borderId="21" xfId="0" applyFont="1" applyFill="1" applyBorder="1" applyAlignment="1">
      <alignment/>
    </xf>
    <xf numFmtId="166" fontId="0" fillId="69" borderId="19" xfId="0" applyNumberFormat="1" applyFill="1" applyBorder="1" applyAlignment="1">
      <alignment/>
    </xf>
    <xf numFmtId="174" fontId="0" fillId="13" borderId="19" xfId="182" applyNumberFormat="1" applyFont="1" applyFill="1" applyBorder="1" applyAlignment="1" applyProtection="1">
      <alignment/>
      <protection/>
    </xf>
    <xf numFmtId="167" fontId="0" fillId="13" borderId="19" xfId="182" applyNumberFormat="1" applyFont="1" applyFill="1" applyBorder="1" applyAlignment="1" applyProtection="1">
      <alignment/>
      <protection/>
    </xf>
    <xf numFmtId="166" fontId="0" fillId="70" borderId="19" xfId="0" applyNumberFormat="1" applyFill="1" applyBorder="1" applyAlignment="1">
      <alignment/>
    </xf>
    <xf numFmtId="49" fontId="25" fillId="13" borderId="27" xfId="0" applyNumberFormat="1" applyFont="1" applyFill="1" applyBorder="1" applyAlignment="1">
      <alignment horizontal="left"/>
    </xf>
    <xf numFmtId="49" fontId="25" fillId="13" borderId="28" xfId="0" applyNumberFormat="1" applyFont="1" applyFill="1" applyBorder="1" applyAlignment="1">
      <alignment horizontal="left"/>
    </xf>
    <xf numFmtId="49" fontId="25" fillId="13" borderId="25" xfId="0" applyNumberFormat="1" applyFont="1" applyFill="1" applyBorder="1" applyAlignment="1">
      <alignment horizontal="left"/>
    </xf>
    <xf numFmtId="49" fontId="0" fillId="13" borderId="23" xfId="0" applyNumberFormat="1" applyFont="1" applyFill="1" applyBorder="1" applyAlignment="1">
      <alignment horizontal="left"/>
    </xf>
    <xf numFmtId="10" fontId="0" fillId="12" borderId="19" xfId="182" applyNumberFormat="1" applyFill="1" applyBorder="1" applyAlignment="1">
      <alignment/>
    </xf>
    <xf numFmtId="10" fontId="27" fillId="12" borderId="19" xfId="182" applyNumberFormat="1" applyFont="1" applyFill="1" applyBorder="1" applyAlignment="1">
      <alignment/>
    </xf>
    <xf numFmtId="166" fontId="28" fillId="0" borderId="0" xfId="0" applyNumberFormat="1" applyFont="1" applyBorder="1" applyAlignment="1">
      <alignment/>
    </xf>
    <xf numFmtId="0" fontId="27" fillId="0" borderId="51" xfId="0" applyFont="1" applyFill="1" applyBorder="1" applyAlignment="1">
      <alignment/>
    </xf>
    <xf numFmtId="49" fontId="0" fillId="0" borderId="52" xfId="0" applyNumberFormat="1" applyFont="1" applyBorder="1" applyAlignment="1">
      <alignment horizontal="left"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0" fillId="0" borderId="55" xfId="0" applyBorder="1" applyAlignment="1">
      <alignment/>
    </xf>
    <xf numFmtId="182" fontId="0" fillId="13" borderId="56" xfId="0" applyNumberFormat="1" applyFont="1" applyFill="1" applyBorder="1" applyAlignment="1">
      <alignment/>
    </xf>
    <xf numFmtId="167" fontId="0" fillId="13" borderId="57" xfId="0" applyNumberFormat="1" applyFont="1" applyFill="1" applyBorder="1" applyAlignment="1">
      <alignment/>
    </xf>
    <xf numFmtId="10" fontId="0" fillId="0" borderId="57" xfId="0" applyNumberFormat="1" applyFill="1" applyBorder="1" applyAlignment="1">
      <alignment/>
    </xf>
    <xf numFmtId="0" fontId="0" fillId="0" borderId="58" xfId="0" applyBorder="1" applyAlignment="1">
      <alignment/>
    </xf>
    <xf numFmtId="0" fontId="0" fillId="13" borderId="57" xfId="0" applyFill="1" applyBorder="1" applyAlignment="1">
      <alignment/>
    </xf>
    <xf numFmtId="10" fontId="0" fillId="0" borderId="59" xfId="0" applyNumberFormat="1" applyFill="1" applyBorder="1" applyAlignment="1">
      <alignment/>
    </xf>
    <xf numFmtId="166" fontId="0" fillId="0" borderId="60" xfId="0" applyNumberFormat="1" applyBorder="1" applyAlignment="1">
      <alignment/>
    </xf>
    <xf numFmtId="166" fontId="0" fillId="13" borderId="56" xfId="0" applyNumberFormat="1" applyFont="1" applyFill="1" applyBorder="1" applyAlignment="1">
      <alignment/>
    </xf>
    <xf numFmtId="10" fontId="0" fillId="0" borderId="57" xfId="0" applyNumberFormat="1" applyBorder="1" applyAlignment="1">
      <alignment/>
    </xf>
    <xf numFmtId="166" fontId="0" fillId="13" borderId="56" xfId="0" applyNumberFormat="1" applyFill="1" applyBorder="1" applyAlignment="1">
      <alignment/>
    </xf>
    <xf numFmtId="166" fontId="27" fillId="0" borderId="61" xfId="0" applyNumberFormat="1" applyFont="1" applyFill="1" applyBorder="1" applyAlignment="1">
      <alignment/>
    </xf>
    <xf numFmtId="166" fontId="27" fillId="0" borderId="62" xfId="0" applyNumberFormat="1" applyFont="1" applyFill="1" applyBorder="1" applyAlignment="1">
      <alignment/>
    </xf>
    <xf numFmtId="10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166" fontId="0" fillId="0" borderId="55" xfId="0" applyNumberFormat="1" applyBorder="1" applyAlignment="1">
      <alignment/>
    </xf>
    <xf numFmtId="167" fontId="0" fillId="13" borderId="56" xfId="0" applyNumberFormat="1" applyFont="1" applyFill="1" applyBorder="1" applyAlignment="1">
      <alignment/>
    </xf>
    <xf numFmtId="166" fontId="0" fillId="13" borderId="57" xfId="0" applyNumberFormat="1" applyFont="1" applyFill="1" applyBorder="1" applyAlignment="1">
      <alignment/>
    </xf>
    <xf numFmtId="166" fontId="0" fillId="0" borderId="57" xfId="0" applyNumberFormat="1" applyFill="1" applyBorder="1" applyAlignment="1">
      <alignment/>
    </xf>
    <xf numFmtId="167" fontId="0" fillId="0" borderId="63" xfId="0" applyNumberFormat="1" applyBorder="1" applyAlignment="1">
      <alignment/>
    </xf>
    <xf numFmtId="166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166" fontId="0" fillId="0" borderId="58" xfId="0" applyNumberFormat="1" applyBorder="1" applyAlignment="1">
      <alignment/>
    </xf>
    <xf numFmtId="0" fontId="0" fillId="0" borderId="66" xfId="0" applyBorder="1" applyAlignment="1">
      <alignment/>
    </xf>
    <xf numFmtId="166" fontId="0" fillId="0" borderId="67" xfId="0" applyNumberFormat="1" applyBorder="1" applyAlignment="1">
      <alignment/>
    </xf>
    <xf numFmtId="10" fontId="0" fillId="0" borderId="56" xfId="0" applyNumberFormat="1" applyBorder="1" applyAlignment="1">
      <alignment/>
    </xf>
    <xf numFmtId="0" fontId="0" fillId="13" borderId="56" xfId="0" applyFill="1" applyBorder="1" applyAlignment="1">
      <alignment/>
    </xf>
    <xf numFmtId="166" fontId="0" fillId="71" borderId="57" xfId="0" applyNumberFormat="1" applyFill="1" applyBorder="1" applyAlignment="1">
      <alignment/>
    </xf>
    <xf numFmtId="10" fontId="0" fillId="0" borderId="61" xfId="0" applyNumberFormat="1" applyBorder="1" applyAlignment="1">
      <alignment/>
    </xf>
    <xf numFmtId="166" fontId="27" fillId="0" borderId="59" xfId="0" applyNumberFormat="1" applyFont="1" applyFill="1" applyBorder="1" applyAlignment="1">
      <alignment/>
    </xf>
    <xf numFmtId="0" fontId="38" fillId="19" borderId="19" xfId="0" applyFont="1" applyFill="1" applyBorder="1" applyAlignment="1">
      <alignment horizontal="center" vertical="center" wrapText="1"/>
    </xf>
    <xf numFmtId="0" fontId="38" fillId="14" borderId="19" xfId="0" applyFont="1" applyFill="1" applyBorder="1" applyAlignment="1">
      <alignment horizontal="center" vertical="center" wrapText="1"/>
    </xf>
    <xf numFmtId="166" fontId="37" fillId="19" borderId="19" xfId="0" applyNumberFormat="1" applyFont="1" applyFill="1" applyBorder="1" applyAlignment="1">
      <alignment/>
    </xf>
    <xf numFmtId="166" fontId="37" fillId="14" borderId="19" xfId="0" applyNumberFormat="1" applyFont="1" applyFill="1" applyBorder="1" applyAlignment="1">
      <alignment/>
    </xf>
    <xf numFmtId="166" fontId="42" fillId="6" borderId="0" xfId="0" applyNumberFormat="1" applyFont="1" applyFill="1" applyBorder="1" applyAlignment="1">
      <alignment/>
    </xf>
    <xf numFmtId="0" fontId="141" fillId="0" borderId="0" xfId="0" applyFont="1" applyAlignment="1">
      <alignment/>
    </xf>
    <xf numFmtId="0" fontId="142" fillId="0" borderId="0" xfId="0" applyFont="1" applyAlignment="1">
      <alignment/>
    </xf>
    <xf numFmtId="166" fontId="0" fillId="57" borderId="19" xfId="0" applyNumberFormat="1" applyFont="1" applyFill="1" applyBorder="1" applyAlignment="1">
      <alignment/>
    </xf>
    <xf numFmtId="166" fontId="0" fillId="72" borderId="22" xfId="0" applyNumberFormat="1" applyFont="1" applyFill="1" applyBorder="1" applyAlignment="1">
      <alignment/>
    </xf>
    <xf numFmtId="166" fontId="27" fillId="72" borderId="19" xfId="0" applyNumberFormat="1" applyFont="1" applyFill="1" applyBorder="1" applyAlignment="1">
      <alignment/>
    </xf>
    <xf numFmtId="3" fontId="27" fillId="0" borderId="68" xfId="0" applyNumberFormat="1" applyFont="1" applyFill="1" applyBorder="1" applyAlignment="1">
      <alignment horizontal="center" vertical="center" wrapText="1"/>
    </xf>
    <xf numFmtId="3" fontId="27" fillId="0" borderId="69" xfId="0" applyNumberFormat="1" applyFont="1" applyFill="1" applyBorder="1" applyAlignment="1">
      <alignment horizontal="center" vertical="center" wrapText="1"/>
    </xf>
    <xf numFmtId="182" fontId="27" fillId="0" borderId="56" xfId="0" applyNumberFormat="1" applyFont="1" applyFill="1" applyBorder="1" applyAlignment="1">
      <alignment/>
    </xf>
    <xf numFmtId="10" fontId="27" fillId="0" borderId="57" xfId="0" applyNumberFormat="1" applyFont="1" applyFill="1" applyBorder="1" applyAlignment="1">
      <alignment/>
    </xf>
    <xf numFmtId="0" fontId="27" fillId="0" borderId="7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10" fontId="0" fillId="0" borderId="56" xfId="0" applyNumberFormat="1" applyFill="1" applyBorder="1" applyAlignment="1">
      <alignment/>
    </xf>
    <xf numFmtId="182" fontId="27" fillId="0" borderId="19" xfId="0" applyNumberFormat="1" applyFont="1" applyFill="1" applyBorder="1" applyAlignment="1">
      <alignment/>
    </xf>
    <xf numFmtId="0" fontId="143" fillId="0" borderId="0" xfId="0" applyFont="1" applyAlignment="1">
      <alignment/>
    </xf>
    <xf numFmtId="0" fontId="133" fillId="0" borderId="0" xfId="0" applyFont="1" applyAlignment="1">
      <alignment/>
    </xf>
    <xf numFmtId="0" fontId="144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145" fillId="0" borderId="0" xfId="0" applyFont="1" applyAlignment="1">
      <alignment/>
    </xf>
    <xf numFmtId="166" fontId="146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 horizontal="center" wrapText="1"/>
    </xf>
    <xf numFmtId="9" fontId="0" fillId="0" borderId="0" xfId="182" applyAlignment="1">
      <alignment/>
    </xf>
    <xf numFmtId="3" fontId="140" fillId="0" borderId="0" xfId="0" applyNumberFormat="1" applyFont="1" applyAlignment="1">
      <alignment/>
    </xf>
    <xf numFmtId="3" fontId="27" fillId="73" borderId="19" xfId="0" applyNumberFormat="1" applyFont="1" applyFill="1" applyBorder="1" applyAlignment="1">
      <alignment horizontal="center" vertical="center" wrapText="1"/>
    </xf>
    <xf numFmtId="166" fontId="0" fillId="73" borderId="19" xfId="0" applyNumberFormat="1" applyFill="1" applyBorder="1" applyAlignment="1">
      <alignment/>
    </xf>
    <xf numFmtId="166" fontId="27" fillId="73" borderId="19" xfId="0" applyNumberFormat="1" applyFont="1" applyFill="1" applyBorder="1" applyAlignment="1">
      <alignment/>
    </xf>
    <xf numFmtId="0" fontId="0" fillId="73" borderId="30" xfId="0" applyFill="1" applyBorder="1" applyAlignment="1">
      <alignment/>
    </xf>
    <xf numFmtId="0" fontId="27" fillId="74" borderId="19" xfId="0" applyFont="1" applyFill="1" applyBorder="1" applyAlignment="1">
      <alignment horizontal="center" vertical="center" wrapText="1"/>
    </xf>
    <xf numFmtId="166" fontId="0" fillId="74" borderId="19" xfId="0" applyNumberFormat="1" applyFill="1" applyBorder="1" applyAlignment="1">
      <alignment/>
    </xf>
    <xf numFmtId="10" fontId="0" fillId="74" borderId="19" xfId="182" applyNumberFormat="1" applyFill="1" applyBorder="1" applyAlignment="1">
      <alignment/>
    </xf>
    <xf numFmtId="174" fontId="0" fillId="74" borderId="19" xfId="182" applyNumberFormat="1" applyFont="1" applyFill="1" applyBorder="1" applyAlignment="1" applyProtection="1">
      <alignment/>
      <protection/>
    </xf>
    <xf numFmtId="166" fontId="0" fillId="74" borderId="19" xfId="182" applyNumberFormat="1" applyFont="1" applyFill="1" applyBorder="1" applyAlignment="1" applyProtection="1">
      <alignment/>
      <protection/>
    </xf>
    <xf numFmtId="3" fontId="147" fillId="0" borderId="0" xfId="0" applyNumberFormat="1" applyFont="1" applyAlignment="1">
      <alignment/>
    </xf>
    <xf numFmtId="166" fontId="0" fillId="0" borderId="20" xfId="0" applyNumberFormat="1" applyBorder="1" applyAlignment="1">
      <alignment/>
    </xf>
    <xf numFmtId="9" fontId="27" fillId="0" borderId="57" xfId="182" applyFont="1" applyFill="1" applyBorder="1" applyAlignment="1">
      <alignment/>
    </xf>
    <xf numFmtId="10" fontId="27" fillId="0" borderId="56" xfId="0" applyNumberFormat="1" applyFont="1" applyFill="1" applyBorder="1" applyAlignment="1">
      <alignment/>
    </xf>
    <xf numFmtId="166" fontId="27" fillId="0" borderId="57" xfId="0" applyNumberFormat="1" applyFont="1" applyFill="1" applyBorder="1" applyAlignment="1">
      <alignment/>
    </xf>
    <xf numFmtId="3" fontId="148" fillId="0" borderId="0" xfId="0" applyNumberFormat="1" applyFont="1" applyAlignment="1">
      <alignment/>
    </xf>
    <xf numFmtId="166" fontId="149" fillId="0" borderId="40" xfId="0" applyNumberFormat="1" applyFont="1" applyFill="1" applyBorder="1" applyAlignment="1">
      <alignment wrapText="1"/>
    </xf>
    <xf numFmtId="0" fontId="22" fillId="19" borderId="42" xfId="0" applyFont="1" applyFill="1" applyBorder="1" applyAlignment="1">
      <alignment wrapText="1"/>
    </xf>
    <xf numFmtId="49" fontId="40" fillId="19" borderId="40" xfId="0" applyNumberFormat="1" applyFont="1" applyFill="1" applyBorder="1" applyAlignment="1">
      <alignment horizontal="center" wrapText="1"/>
    </xf>
    <xf numFmtId="167" fontId="22" fillId="19" borderId="40" xfId="0" applyNumberFormat="1" applyFont="1" applyFill="1" applyBorder="1" applyAlignment="1">
      <alignment wrapText="1"/>
    </xf>
    <xf numFmtId="166" fontId="22" fillId="19" borderId="43" xfId="0" applyNumberFormat="1" applyFont="1" applyFill="1" applyBorder="1" applyAlignment="1">
      <alignment wrapText="1"/>
    </xf>
    <xf numFmtId="0" fontId="22" fillId="14" borderId="42" xfId="0" applyFont="1" applyFill="1" applyBorder="1" applyAlignment="1">
      <alignment wrapText="1"/>
    </xf>
    <xf numFmtId="49" fontId="40" fillId="14" borderId="40" xfId="0" applyNumberFormat="1" applyFont="1" applyFill="1" applyBorder="1" applyAlignment="1">
      <alignment horizontal="center" wrapText="1"/>
    </xf>
    <xf numFmtId="167" fontId="22" fillId="14" borderId="40" xfId="0" applyNumberFormat="1" applyFont="1" applyFill="1" applyBorder="1" applyAlignment="1">
      <alignment wrapText="1"/>
    </xf>
    <xf numFmtId="166" fontId="22" fillId="14" borderId="43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1" fontId="0" fillId="0" borderId="40" xfId="182" applyNumberFormat="1" applyBorder="1" applyAlignment="1">
      <alignment/>
    </xf>
    <xf numFmtId="1" fontId="0" fillId="0" borderId="0" xfId="182" applyNumberFormat="1" applyBorder="1" applyAlignment="1">
      <alignment/>
    </xf>
    <xf numFmtId="3" fontId="0" fillId="0" borderId="40" xfId="0" applyNumberFormat="1" applyBorder="1" applyAlignment="1">
      <alignment vertical="center"/>
    </xf>
    <xf numFmtId="49" fontId="27" fillId="19" borderId="40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/>
    </xf>
    <xf numFmtId="0" fontId="54" fillId="0" borderId="0" xfId="128" applyFont="1" applyFill="1" applyBorder="1" applyAlignment="1">
      <alignment vertical="center"/>
      <protection/>
    </xf>
    <xf numFmtId="0" fontId="1" fillId="0" borderId="0" xfId="128" applyFont="1" applyFill="1" applyBorder="1" applyAlignment="1">
      <alignment vertical="center"/>
      <protection/>
    </xf>
    <xf numFmtId="0" fontId="115" fillId="0" borderId="0" xfId="105">
      <alignment/>
      <protection/>
    </xf>
    <xf numFmtId="0" fontId="55" fillId="0" borderId="0" xfId="93" applyFont="1" applyFill="1" applyBorder="1" applyAlignment="1">
      <alignment vertical="center"/>
      <protection/>
    </xf>
    <xf numFmtId="0" fontId="54" fillId="0" borderId="0" xfId="128" applyFont="1" applyFill="1" applyBorder="1" applyAlignment="1">
      <alignment vertical="center" wrapText="1"/>
      <protection/>
    </xf>
    <xf numFmtId="0" fontId="54" fillId="25" borderId="71" xfId="128" applyFont="1" applyFill="1" applyBorder="1" applyAlignment="1">
      <alignment horizontal="center" vertical="center"/>
      <protection/>
    </xf>
    <xf numFmtId="0" fontId="54" fillId="25" borderId="72" xfId="128" applyFont="1" applyFill="1" applyBorder="1" applyAlignment="1">
      <alignment horizontal="center" vertical="center"/>
      <protection/>
    </xf>
    <xf numFmtId="0" fontId="54" fillId="25" borderId="73" xfId="128" applyFont="1" applyFill="1" applyBorder="1" applyAlignment="1">
      <alignment horizontal="center" vertical="center"/>
      <protection/>
    </xf>
    <xf numFmtId="0" fontId="115" fillId="0" borderId="74" xfId="105" applyFill="1" applyBorder="1">
      <alignment/>
      <protection/>
    </xf>
    <xf numFmtId="174" fontId="54" fillId="0" borderId="74" xfId="128" applyNumberFormat="1" applyFont="1" applyFill="1" applyBorder="1" applyAlignment="1">
      <alignment horizontal="center" vertical="center"/>
      <protection/>
    </xf>
    <xf numFmtId="174" fontId="54" fillId="0" borderId="75" xfId="128" applyNumberFormat="1" applyFont="1" applyFill="1" applyBorder="1" applyAlignment="1">
      <alignment horizontal="center" vertical="center"/>
      <protection/>
    </xf>
    <xf numFmtId="3" fontId="54" fillId="0" borderId="0" xfId="128" applyNumberFormat="1" applyFont="1" applyFill="1" applyBorder="1" applyAlignment="1">
      <alignment horizontal="center" vertical="center" wrapText="1"/>
      <protection/>
    </xf>
    <xf numFmtId="0" fontId="54" fillId="0" borderId="0" xfId="128" applyFont="1" applyFill="1" applyBorder="1" applyAlignment="1">
      <alignment horizontal="center" vertical="center" wrapText="1"/>
      <protection/>
    </xf>
    <xf numFmtId="188" fontId="54" fillId="0" borderId="0" xfId="128" applyNumberFormat="1" applyFont="1" applyFill="1" applyBorder="1" applyAlignment="1">
      <alignment horizontal="center" vertical="center" wrapText="1"/>
      <protection/>
    </xf>
    <xf numFmtId="49" fontId="54" fillId="0" borderId="60" xfId="128" applyNumberFormat="1" applyFont="1" applyFill="1" applyBorder="1" applyAlignment="1" applyProtection="1">
      <alignment horizontal="center" vertical="center"/>
      <protection/>
    </xf>
    <xf numFmtId="0" fontId="128" fillId="0" borderId="0" xfId="168" applyFill="1" applyBorder="1">
      <alignment/>
      <protection/>
    </xf>
    <xf numFmtId="49" fontId="56" fillId="0" borderId="76" xfId="128" applyNumberFormat="1" applyFont="1" applyFill="1" applyBorder="1" applyAlignment="1" applyProtection="1">
      <alignment horizontal="left" vertical="center"/>
      <protection/>
    </xf>
    <xf numFmtId="49" fontId="54" fillId="0" borderId="77" xfId="128" applyNumberFormat="1" applyFont="1" applyFill="1" applyBorder="1" applyAlignment="1" applyProtection="1">
      <alignment horizontal="center" vertical="center"/>
      <protection/>
    </xf>
    <xf numFmtId="0" fontId="1" fillId="0" borderId="0" xfId="128" applyFont="1" applyFill="1" applyBorder="1" applyAlignment="1">
      <alignment horizontal="left" vertical="center" wrapText="1"/>
      <protection/>
    </xf>
    <xf numFmtId="0" fontId="1" fillId="0" borderId="0" xfId="128" applyFill="1" applyBorder="1" applyAlignment="1">
      <alignment vertical="center"/>
      <protection/>
    </xf>
    <xf numFmtId="0" fontId="24" fillId="75" borderId="42" xfId="0" applyFont="1" applyFill="1" applyBorder="1" applyAlignment="1">
      <alignment wrapText="1"/>
    </xf>
    <xf numFmtId="49" fontId="20" fillId="75" borderId="40" xfId="0" applyNumberFormat="1" applyFont="1" applyFill="1" applyBorder="1" applyAlignment="1">
      <alignment horizontal="center" wrapText="1"/>
    </xf>
    <xf numFmtId="9" fontId="0" fillId="75" borderId="40" xfId="182" applyFont="1" applyFill="1" applyBorder="1" applyAlignment="1">
      <alignment wrapText="1"/>
    </xf>
    <xf numFmtId="168" fontId="22" fillId="75" borderId="40" xfId="0" applyNumberFormat="1" applyFont="1" applyFill="1" applyBorder="1" applyAlignment="1">
      <alignment wrapText="1"/>
    </xf>
    <xf numFmtId="166" fontId="21" fillId="75" borderId="43" xfId="0" applyNumberFormat="1" applyFont="1" applyFill="1" applyBorder="1" applyAlignment="1">
      <alignment wrapText="1"/>
    </xf>
    <xf numFmtId="3" fontId="0" fillId="76" borderId="19" xfId="0" applyNumberFormat="1" applyFont="1" applyFill="1" applyBorder="1" applyAlignment="1">
      <alignment/>
    </xf>
    <xf numFmtId="3" fontId="27" fillId="76" borderId="19" xfId="0" applyNumberFormat="1" applyFont="1" applyFill="1" applyBorder="1" applyAlignment="1">
      <alignment/>
    </xf>
    <xf numFmtId="3" fontId="0" fillId="30" borderId="19" xfId="0" applyNumberFormat="1" applyFont="1" applyFill="1" applyBorder="1" applyAlignment="1">
      <alignment/>
    </xf>
    <xf numFmtId="3" fontId="146" fillId="0" borderId="0" xfId="182" applyNumberFormat="1" applyFont="1" applyFill="1" applyBorder="1" applyAlignment="1" applyProtection="1">
      <alignment/>
      <protection/>
    </xf>
    <xf numFmtId="3" fontId="0" fillId="76" borderId="40" xfId="182" applyNumberFormat="1" applyFont="1" applyFill="1" applyBorder="1" applyAlignment="1" applyProtection="1">
      <alignment/>
      <protection/>
    </xf>
    <xf numFmtId="3" fontId="27" fillId="76" borderId="40" xfId="182" applyNumberFormat="1" applyFont="1" applyFill="1" applyBorder="1" applyAlignment="1" applyProtection="1">
      <alignment/>
      <protection/>
    </xf>
    <xf numFmtId="3" fontId="0" fillId="12" borderId="40" xfId="182" applyNumberFormat="1" applyFont="1" applyFill="1" applyBorder="1" applyAlignment="1" applyProtection="1">
      <alignment/>
      <protection/>
    </xf>
    <xf numFmtId="3" fontId="27" fillId="12" borderId="40" xfId="182" applyNumberFormat="1" applyFont="1" applyFill="1" applyBorder="1" applyAlignment="1" applyProtection="1">
      <alignment/>
      <protection/>
    </xf>
    <xf numFmtId="3" fontId="32" fillId="0" borderId="0" xfId="0" applyNumberFormat="1" applyFont="1" applyBorder="1" applyAlignment="1">
      <alignment/>
    </xf>
    <xf numFmtId="166" fontId="27" fillId="77" borderId="19" xfId="0" applyNumberFormat="1" applyFont="1" applyFill="1" applyBorder="1" applyAlignment="1">
      <alignment/>
    </xf>
    <xf numFmtId="49" fontId="27" fillId="0" borderId="0" xfId="124" applyNumberFormat="1" applyFont="1" applyFill="1" applyBorder="1" applyAlignment="1">
      <alignment horizontal="left"/>
      <protection/>
    </xf>
    <xf numFmtId="0" fontId="27" fillId="0" borderId="0" xfId="124" applyFont="1" applyFill="1" applyBorder="1">
      <alignment/>
      <protection/>
    </xf>
    <xf numFmtId="166" fontId="117" fillId="0" borderId="0" xfId="124" applyNumberFormat="1" applyFont="1" applyFill="1" applyBorder="1">
      <alignment/>
      <protection/>
    </xf>
    <xf numFmtId="166" fontId="139" fillId="0" borderId="0" xfId="124" applyNumberFormat="1" applyFont="1" applyFill="1" applyBorder="1">
      <alignment/>
      <protection/>
    </xf>
    <xf numFmtId="166" fontId="117" fillId="0" borderId="40" xfId="124" applyNumberFormat="1" applyFont="1" applyBorder="1">
      <alignment/>
      <protection/>
    </xf>
    <xf numFmtId="0" fontId="22" fillId="78" borderId="42" xfId="0" applyFont="1" applyFill="1" applyBorder="1" applyAlignment="1">
      <alignment wrapText="1"/>
    </xf>
    <xf numFmtId="49" fontId="40" fillId="78" borderId="40" xfId="0" applyNumberFormat="1" applyFont="1" applyFill="1" applyBorder="1" applyAlignment="1">
      <alignment horizontal="center" wrapText="1"/>
    </xf>
    <xf numFmtId="167" fontId="22" fillId="78" borderId="40" xfId="0" applyNumberFormat="1" applyFont="1" applyFill="1" applyBorder="1" applyAlignment="1">
      <alignment wrapText="1"/>
    </xf>
    <xf numFmtId="166" fontId="22" fillId="78" borderId="43" xfId="0" applyNumberFormat="1" applyFont="1" applyFill="1" applyBorder="1" applyAlignment="1">
      <alignment wrapText="1"/>
    </xf>
    <xf numFmtId="0" fontId="21" fillId="78" borderId="42" xfId="0" applyFont="1" applyFill="1" applyBorder="1" applyAlignment="1">
      <alignment wrapText="1"/>
    </xf>
    <xf numFmtId="49" fontId="20" fillId="78" borderId="40" xfId="0" applyNumberFormat="1" applyFont="1" applyFill="1" applyBorder="1" applyAlignment="1">
      <alignment horizontal="center" wrapText="1"/>
    </xf>
    <xf numFmtId="166" fontId="23" fillId="78" borderId="40" xfId="0" applyNumberFormat="1" applyFont="1" applyFill="1" applyBorder="1" applyAlignment="1">
      <alignment wrapText="1"/>
    </xf>
    <xf numFmtId="167" fontId="19" fillId="78" borderId="40" xfId="0" applyNumberFormat="1" applyFont="1" applyFill="1" applyBorder="1" applyAlignment="1">
      <alignment wrapText="1"/>
    </xf>
    <xf numFmtId="166" fontId="19" fillId="78" borderId="43" xfId="0" applyNumberFormat="1" applyFont="1" applyFill="1" applyBorder="1" applyAlignment="1">
      <alignment wrapText="1"/>
    </xf>
    <xf numFmtId="49" fontId="27" fillId="79" borderId="19" xfId="0" applyNumberFormat="1" applyFont="1" applyFill="1" applyBorder="1" applyAlignment="1">
      <alignment horizontal="center" vertical="center" wrapText="1"/>
    </xf>
    <xf numFmtId="0" fontId="115" fillId="0" borderId="0" xfId="105" applyBorder="1">
      <alignment/>
      <protection/>
    </xf>
    <xf numFmtId="174" fontId="56" fillId="0" borderId="74" xfId="181" applyNumberFormat="1" applyFont="1" applyFill="1" applyBorder="1" applyAlignment="1" applyProtection="1">
      <alignment horizontal="right" vertical="center"/>
      <protection/>
    </xf>
    <xf numFmtId="174" fontId="56" fillId="0" borderId="74" xfId="181" applyNumberFormat="1" applyFont="1" applyFill="1" applyBorder="1" applyAlignment="1" applyProtection="1">
      <alignment vertical="center"/>
      <protection/>
    </xf>
    <xf numFmtId="174" fontId="56" fillId="0" borderId="75" xfId="181" applyNumberFormat="1" applyFont="1" applyFill="1" applyBorder="1" applyAlignment="1" applyProtection="1">
      <alignment vertical="center"/>
      <protection/>
    </xf>
    <xf numFmtId="174" fontId="54" fillId="0" borderId="78" xfId="181" applyNumberFormat="1" applyFont="1" applyFill="1" applyBorder="1" applyAlignment="1" applyProtection="1">
      <alignment horizontal="center" vertical="center" wrapText="1"/>
      <protection/>
    </xf>
    <xf numFmtId="174" fontId="54" fillId="0" borderId="79" xfId="181" applyNumberFormat="1" applyFont="1" applyFill="1" applyBorder="1" applyAlignment="1" applyProtection="1">
      <alignment horizontal="center" vertical="center" wrapText="1"/>
      <protection/>
    </xf>
    <xf numFmtId="174" fontId="56" fillId="0" borderId="80" xfId="181" applyNumberFormat="1" applyFont="1" applyFill="1" applyBorder="1" applyAlignment="1" applyProtection="1">
      <alignment horizontal="right" vertical="center"/>
      <protection/>
    </xf>
    <xf numFmtId="174" fontId="56" fillId="0" borderId="81" xfId="181" applyNumberFormat="1" applyFont="1" applyFill="1" applyBorder="1" applyAlignment="1" applyProtection="1">
      <alignment horizontal="right" vertical="center"/>
      <protection/>
    </xf>
    <xf numFmtId="0" fontId="56" fillId="25" borderId="82" xfId="128" applyFont="1" applyFill="1" applyBorder="1" applyAlignment="1">
      <alignment horizontal="center" vertical="center" wrapText="1"/>
      <protection/>
    </xf>
    <xf numFmtId="0" fontId="54" fillId="0" borderId="83" xfId="128" applyFont="1" applyFill="1" applyBorder="1" applyAlignment="1">
      <alignment horizontal="center" vertical="center" wrapText="1"/>
      <protection/>
    </xf>
    <xf numFmtId="0" fontId="54" fillId="0" borderId="84" xfId="128" applyFont="1" applyFill="1" applyBorder="1" applyAlignment="1">
      <alignment horizontal="center" vertical="center" wrapText="1"/>
      <protection/>
    </xf>
    <xf numFmtId="174" fontId="56" fillId="0" borderId="85" xfId="181" applyNumberFormat="1" applyFont="1" applyFill="1" applyBorder="1" applyAlignment="1" applyProtection="1">
      <alignment horizontal="right" vertical="center"/>
      <protection/>
    </xf>
    <xf numFmtId="177" fontId="56" fillId="30" borderId="74" xfId="181" applyNumberFormat="1" applyFont="1" applyFill="1" applyBorder="1" applyAlignment="1" applyProtection="1">
      <alignment horizontal="right" vertical="center"/>
      <protection/>
    </xf>
    <xf numFmtId="0" fontId="27" fillId="80" borderId="40" xfId="0" applyFont="1" applyFill="1" applyBorder="1" applyAlignment="1">
      <alignment horizontal="center" vertical="center" wrapText="1"/>
    </xf>
    <xf numFmtId="0" fontId="27" fillId="81" borderId="40" xfId="0" applyFont="1" applyFill="1" applyBorder="1" applyAlignment="1">
      <alignment horizontal="center" vertical="center" wrapText="1"/>
    </xf>
    <xf numFmtId="166" fontId="0" fillId="80" borderId="40" xfId="0" applyNumberFormat="1" applyFill="1" applyBorder="1" applyAlignment="1">
      <alignment/>
    </xf>
    <xf numFmtId="166" fontId="0" fillId="81" borderId="40" xfId="0" applyNumberFormat="1" applyFill="1" applyBorder="1" applyAlignment="1">
      <alignment/>
    </xf>
    <xf numFmtId="166" fontId="27" fillId="80" borderId="40" xfId="0" applyNumberFormat="1" applyFont="1" applyFill="1" applyBorder="1" applyAlignment="1">
      <alignment/>
    </xf>
    <xf numFmtId="166" fontId="27" fillId="81" borderId="40" xfId="0" applyNumberFormat="1" applyFont="1" applyFill="1" applyBorder="1" applyAlignment="1">
      <alignment/>
    </xf>
    <xf numFmtId="0" fontId="0" fillId="16" borderId="21" xfId="0" applyFont="1" applyFill="1" applyBorder="1" applyAlignment="1">
      <alignment/>
    </xf>
    <xf numFmtId="166" fontId="0" fillId="16" borderId="19" xfId="0" applyNumberFormat="1" applyFont="1" applyFill="1" applyBorder="1" applyAlignment="1">
      <alignment/>
    </xf>
    <xf numFmtId="0" fontId="0" fillId="16" borderId="30" xfId="0" applyFont="1" applyFill="1" applyBorder="1" applyAlignment="1">
      <alignment/>
    </xf>
    <xf numFmtId="166" fontId="0" fillId="16" borderId="19" xfId="0" applyNumberFormat="1" applyFill="1" applyBorder="1" applyAlignment="1">
      <alignment/>
    </xf>
    <xf numFmtId="166" fontId="25" fillId="16" borderId="19" xfId="0" applyNumberFormat="1" applyFont="1" applyFill="1" applyBorder="1" applyAlignment="1">
      <alignment/>
    </xf>
    <xf numFmtId="0" fontId="25" fillId="16" borderId="30" xfId="0" applyFont="1" applyFill="1" applyBorder="1" applyAlignment="1">
      <alignment/>
    </xf>
    <xf numFmtId="49" fontId="0" fillId="16" borderId="21" xfId="0" applyNumberFormat="1" applyFont="1" applyFill="1" applyBorder="1" applyAlignment="1">
      <alignment horizontal="left"/>
    </xf>
    <xf numFmtId="49" fontId="0" fillId="16" borderId="23" xfId="0" applyNumberFormat="1" applyFont="1" applyFill="1" applyBorder="1" applyAlignment="1">
      <alignment horizontal="left"/>
    </xf>
    <xf numFmtId="49" fontId="0" fillId="5" borderId="20" xfId="0" applyNumberFormat="1" applyFont="1" applyFill="1" applyBorder="1" applyAlignment="1">
      <alignment horizontal="right"/>
    </xf>
    <xf numFmtId="49" fontId="0" fillId="5" borderId="23" xfId="0" applyNumberFormat="1" applyFont="1" applyFill="1" applyBorder="1" applyAlignment="1">
      <alignment horizontal="left"/>
    </xf>
    <xf numFmtId="166" fontId="115" fillId="5" borderId="40" xfId="124" applyNumberFormat="1" applyFill="1" applyBorder="1">
      <alignment/>
      <protection/>
    </xf>
    <xf numFmtId="166" fontId="138" fillId="5" borderId="40" xfId="124" applyNumberFormat="1" applyFont="1" applyFill="1" applyBorder="1">
      <alignment/>
      <protection/>
    </xf>
    <xf numFmtId="0" fontId="129" fillId="0" borderId="0" xfId="101">
      <alignment/>
      <protection/>
    </xf>
    <xf numFmtId="168" fontId="0" fillId="0" borderId="40" xfId="0" applyNumberFormat="1" applyFont="1" applyFill="1" applyBorder="1" applyAlignment="1">
      <alignment horizontal="right"/>
    </xf>
    <xf numFmtId="168" fontId="25" fillId="0" borderId="86" xfId="0" applyNumberFormat="1" applyFont="1" applyFill="1" applyBorder="1" applyAlignment="1">
      <alignment/>
    </xf>
    <xf numFmtId="218" fontId="0" fillId="82" borderId="40" xfId="0" applyNumberFormat="1" applyFont="1" applyFill="1" applyBorder="1" applyAlignment="1">
      <alignment/>
    </xf>
    <xf numFmtId="167" fontId="27" fillId="0" borderId="56" xfId="0" applyNumberFormat="1" applyFont="1" applyFill="1" applyBorder="1" applyAlignment="1">
      <alignment/>
    </xf>
    <xf numFmtId="10" fontId="0" fillId="0" borderId="65" xfId="182" applyNumberFormat="1" applyBorder="1" applyAlignment="1">
      <alignment/>
    </xf>
    <xf numFmtId="10" fontId="0" fillId="0" borderId="57" xfId="182" applyNumberFormat="1" applyBorder="1" applyAlignment="1">
      <alignment/>
    </xf>
    <xf numFmtId="10" fontId="0" fillId="0" borderId="56" xfId="182" applyNumberFormat="1" applyBorder="1" applyAlignment="1">
      <alignment/>
    </xf>
    <xf numFmtId="10" fontId="0" fillId="79" borderId="40" xfId="182" applyNumberFormat="1" applyFill="1" applyBorder="1" applyAlignment="1">
      <alignment/>
    </xf>
    <xf numFmtId="3" fontId="147" fillId="0" borderId="0" xfId="168" applyNumberFormat="1" applyFont="1" applyFill="1" applyBorder="1">
      <alignment/>
      <protection/>
    </xf>
    <xf numFmtId="9" fontId="0" fillId="0" borderId="19" xfId="182" applyNumberFormat="1" applyFill="1" applyBorder="1" applyAlignment="1">
      <alignment/>
    </xf>
    <xf numFmtId="166" fontId="0" fillId="19" borderId="34" xfId="0" applyNumberFormat="1" applyFill="1" applyBorder="1" applyAlignment="1">
      <alignment/>
    </xf>
    <xf numFmtId="166" fontId="0" fillId="14" borderId="34" xfId="0" applyNumberFormat="1" applyFill="1" applyBorder="1" applyAlignment="1">
      <alignment/>
    </xf>
    <xf numFmtId="166" fontId="0" fillId="19" borderId="22" xfId="0" applyNumberFormat="1" applyFill="1" applyBorder="1" applyAlignment="1">
      <alignment/>
    </xf>
    <xf numFmtId="166" fontId="0" fillId="14" borderId="22" xfId="0" applyNumberFormat="1" applyFill="1" applyBorder="1" applyAlignment="1">
      <alignment/>
    </xf>
    <xf numFmtId="166" fontId="0" fillId="2" borderId="34" xfId="0" applyNumberFormat="1" applyFill="1" applyBorder="1" applyAlignment="1">
      <alignment/>
    </xf>
    <xf numFmtId="166" fontId="37" fillId="19" borderId="34" xfId="0" applyNumberFormat="1" applyFont="1" applyFill="1" applyBorder="1" applyAlignment="1">
      <alignment/>
    </xf>
    <xf numFmtId="166" fontId="37" fillId="14" borderId="34" xfId="0" applyNumberFormat="1" applyFont="1" applyFill="1" applyBorder="1" applyAlignment="1">
      <alignment/>
    </xf>
    <xf numFmtId="166" fontId="0" fillId="0" borderId="34" xfId="0" applyNumberFormat="1" applyBorder="1" applyAlignment="1">
      <alignment/>
    </xf>
    <xf numFmtId="166" fontId="0" fillId="2" borderId="22" xfId="0" applyNumberFormat="1" applyFill="1" applyBorder="1" applyAlignment="1">
      <alignment/>
    </xf>
    <xf numFmtId="166" fontId="37" fillId="19" borderId="22" xfId="0" applyNumberFormat="1" applyFont="1" applyFill="1" applyBorder="1" applyAlignment="1">
      <alignment/>
    </xf>
    <xf numFmtId="166" fontId="37" fillId="14" borderId="22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49" fontId="25" fillId="0" borderId="87" xfId="0" applyNumberFormat="1" applyFont="1" applyFill="1" applyBorder="1" applyAlignment="1">
      <alignment horizontal="left"/>
    </xf>
    <xf numFmtId="0" fontId="0" fillId="0" borderId="88" xfId="0" applyFont="1" applyBorder="1" applyAlignment="1">
      <alignment/>
    </xf>
    <xf numFmtId="166" fontId="0" fillId="19" borderId="40" xfId="0" applyNumberFormat="1" applyFill="1" applyBorder="1" applyAlignment="1">
      <alignment/>
    </xf>
    <xf numFmtId="166" fontId="0" fillId="14" borderId="40" xfId="0" applyNumberFormat="1" applyFill="1" applyBorder="1" applyAlignment="1">
      <alignment/>
    </xf>
    <xf numFmtId="166" fontId="0" fillId="2" borderId="40" xfId="0" applyNumberFormat="1" applyFill="1" applyBorder="1" applyAlignment="1">
      <alignment/>
    </xf>
    <xf numFmtId="166" fontId="37" fillId="19" borderId="40" xfId="0" applyNumberFormat="1" applyFont="1" applyFill="1" applyBorder="1" applyAlignment="1">
      <alignment/>
    </xf>
    <xf numFmtId="166" fontId="37" fillId="14" borderId="40" xfId="0" applyNumberFormat="1" applyFont="1" applyFill="1" applyBorder="1" applyAlignment="1">
      <alignment/>
    </xf>
    <xf numFmtId="166" fontId="0" fillId="0" borderId="40" xfId="0" applyNumberFormat="1" applyBorder="1" applyAlignment="1">
      <alignment/>
    </xf>
    <xf numFmtId="49" fontId="25" fillId="0" borderId="89" xfId="0" applyNumberFormat="1" applyFont="1" applyFill="1" applyBorder="1" applyAlignment="1">
      <alignment horizontal="left"/>
    </xf>
    <xf numFmtId="0" fontId="25" fillId="0" borderId="90" xfId="0" applyFont="1" applyBorder="1" applyAlignment="1">
      <alignment/>
    </xf>
    <xf numFmtId="182" fontId="0" fillId="0" borderId="60" xfId="0" applyNumberFormat="1" applyFont="1" applyBorder="1" applyAlignment="1">
      <alignment/>
    </xf>
    <xf numFmtId="166" fontId="27" fillId="6" borderId="61" xfId="0" applyNumberFormat="1" applyFont="1" applyFill="1" applyBorder="1" applyAlignment="1">
      <alignment/>
    </xf>
    <xf numFmtId="174" fontId="0" fillId="0" borderId="57" xfId="182" applyNumberFormat="1" applyFill="1" applyBorder="1" applyAlignment="1">
      <alignment/>
    </xf>
    <xf numFmtId="0" fontId="117" fillId="66" borderId="91" xfId="0" applyFont="1" applyFill="1" applyBorder="1" applyAlignment="1">
      <alignment horizontal="left" wrapText="1"/>
    </xf>
    <xf numFmtId="0" fontId="117" fillId="66" borderId="92" xfId="0" applyFont="1" applyFill="1" applyBorder="1" applyAlignment="1">
      <alignment horizontal="left" wrapText="1"/>
    </xf>
    <xf numFmtId="0" fontId="117" fillId="66" borderId="92" xfId="0" applyFont="1" applyFill="1" applyBorder="1" applyAlignment="1">
      <alignment horizontal="center" wrapText="1"/>
    </xf>
    <xf numFmtId="0" fontId="117" fillId="66" borderId="93" xfId="0" applyFont="1" applyFill="1" applyBorder="1" applyAlignment="1">
      <alignment horizontal="center" wrapText="1"/>
    </xf>
    <xf numFmtId="0" fontId="0" fillId="83" borderId="0" xfId="0" applyFill="1" applyAlignment="1">
      <alignment horizontal="center" wrapText="1"/>
    </xf>
    <xf numFmtId="0" fontId="0" fillId="83" borderId="48" xfId="0" applyFill="1" applyBorder="1" applyAlignment="1">
      <alignment horizontal="center" wrapText="1"/>
    </xf>
    <xf numFmtId="0" fontId="117" fillId="84" borderId="47" xfId="0" applyFont="1" applyFill="1" applyBorder="1" applyAlignment="1">
      <alignment horizontal="left" wrapText="1"/>
    </xf>
    <xf numFmtId="0" fontId="0" fillId="84" borderId="0" xfId="0" applyFill="1" applyAlignment="1">
      <alignment horizontal="left" wrapText="1"/>
    </xf>
    <xf numFmtId="0" fontId="0" fillId="84" borderId="0" xfId="0" applyFill="1" applyAlignment="1">
      <alignment horizontal="center" wrapText="1"/>
    </xf>
    <xf numFmtId="0" fontId="0" fillId="84" borderId="48" xfId="0" applyFill="1" applyBorder="1" applyAlignment="1">
      <alignment horizontal="center" wrapText="1"/>
    </xf>
    <xf numFmtId="3" fontId="0" fillId="67" borderId="4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 horizontal="right"/>
    </xf>
    <xf numFmtId="174" fontId="56" fillId="0" borderId="94" xfId="181" applyNumberFormat="1" applyFont="1" applyFill="1" applyBorder="1" applyAlignment="1" applyProtection="1">
      <alignment horizontal="right" vertical="center"/>
      <protection/>
    </xf>
    <xf numFmtId="49" fontId="54" fillId="0" borderId="95" xfId="128" applyNumberFormat="1" applyFont="1" applyFill="1" applyBorder="1" applyAlignment="1" applyProtection="1">
      <alignment horizontal="center" vertical="center"/>
      <protection/>
    </xf>
    <xf numFmtId="0" fontId="1" fillId="0" borderId="60" xfId="128" applyFont="1" applyFill="1" applyBorder="1" applyAlignment="1">
      <alignment vertical="center"/>
      <protection/>
    </xf>
    <xf numFmtId="0" fontId="1" fillId="0" borderId="55" xfId="128" applyFont="1" applyFill="1" applyBorder="1" applyAlignment="1">
      <alignment vertical="center"/>
      <protection/>
    </xf>
    <xf numFmtId="0" fontId="1" fillId="0" borderId="96" xfId="128" applyFont="1" applyFill="1" applyBorder="1" applyAlignment="1">
      <alignment vertical="center"/>
      <protection/>
    </xf>
    <xf numFmtId="49" fontId="54" fillId="0" borderId="78" xfId="128" applyNumberFormat="1" applyFont="1" applyFill="1" applyBorder="1" applyAlignment="1" applyProtection="1">
      <alignment horizontal="center" vertical="center"/>
      <protection/>
    </xf>
    <xf numFmtId="3" fontId="0" fillId="68" borderId="19" xfId="0" applyNumberFormat="1" applyFill="1" applyBorder="1" applyAlignment="1">
      <alignment/>
    </xf>
    <xf numFmtId="0" fontId="27" fillId="85" borderId="19" xfId="0" applyFont="1" applyFill="1" applyBorder="1" applyAlignment="1">
      <alignment horizontal="center"/>
    </xf>
    <xf numFmtId="3" fontId="0" fillId="85" borderId="19" xfId="0" applyNumberFormat="1" applyFill="1" applyBorder="1" applyAlignment="1">
      <alignment/>
    </xf>
    <xf numFmtId="3" fontId="0" fillId="86" borderId="19" xfId="0" applyNumberFormat="1" applyFill="1" applyBorder="1" applyAlignment="1">
      <alignment/>
    </xf>
    <xf numFmtId="0" fontId="27" fillId="87" borderId="19" xfId="0" applyFont="1" applyFill="1" applyBorder="1" applyAlignment="1">
      <alignment horizontal="center"/>
    </xf>
    <xf numFmtId="3" fontId="0" fillId="87" borderId="19" xfId="0" applyNumberFormat="1" applyFill="1" applyBorder="1" applyAlignment="1">
      <alignment/>
    </xf>
    <xf numFmtId="166" fontId="93" fillId="0" borderId="40" xfId="124" applyNumberFormat="1" applyFont="1" applyFill="1" applyBorder="1">
      <alignment/>
      <protection/>
    </xf>
    <xf numFmtId="182" fontId="0" fillId="88" borderId="20" xfId="0" applyNumberFormat="1" applyFill="1" applyBorder="1" applyAlignment="1">
      <alignment/>
    </xf>
    <xf numFmtId="166" fontId="0" fillId="88" borderId="20" xfId="0" applyNumberFormat="1" applyFill="1" applyBorder="1" applyAlignment="1">
      <alignment/>
    </xf>
    <xf numFmtId="3" fontId="27" fillId="88" borderId="20" xfId="0" applyNumberFormat="1" applyFont="1" applyFill="1" applyBorder="1" applyAlignment="1">
      <alignment/>
    </xf>
    <xf numFmtId="166" fontId="0" fillId="14" borderId="97" xfId="0" applyNumberFormat="1" applyFill="1" applyBorder="1" applyAlignment="1">
      <alignment/>
    </xf>
    <xf numFmtId="182" fontId="0" fillId="68" borderId="97" xfId="0" applyNumberFormat="1" applyFill="1" applyBorder="1" applyAlignment="1">
      <alignment/>
    </xf>
    <xf numFmtId="166" fontId="0" fillId="68" borderId="97" xfId="0" applyNumberFormat="1" applyFill="1" applyBorder="1" applyAlignment="1">
      <alignment/>
    </xf>
    <xf numFmtId="3" fontId="27" fillId="14" borderId="97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49" fontId="56" fillId="0" borderId="0" xfId="128" applyNumberFormat="1" applyFont="1" applyFill="1" applyBorder="1" applyAlignment="1" applyProtection="1">
      <alignment horizontal="left" vertical="center"/>
      <protection/>
    </xf>
    <xf numFmtId="213" fontId="140" fillId="0" borderId="0" xfId="0" applyNumberFormat="1" applyFont="1" applyAlignment="1">
      <alignment/>
    </xf>
    <xf numFmtId="0" fontId="57" fillId="0" borderId="0" xfId="0" applyFont="1" applyAlignment="1">
      <alignment/>
    </xf>
    <xf numFmtId="177" fontId="0" fillId="0" borderId="40" xfId="182" applyNumberFormat="1" applyFill="1" applyBorder="1" applyAlignment="1">
      <alignment/>
    </xf>
    <xf numFmtId="177" fontId="0" fillId="0" borderId="40" xfId="182" applyNumberFormat="1" applyFill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7" fillId="14" borderId="22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/>
    </xf>
    <xf numFmtId="0" fontId="0" fillId="14" borderId="23" xfId="0" applyFont="1" applyFill="1" applyBorder="1" applyAlignment="1">
      <alignment/>
    </xf>
    <xf numFmtId="0" fontId="0" fillId="68" borderId="20" xfId="0" applyFont="1" applyFill="1" applyBorder="1" applyAlignment="1">
      <alignment/>
    </xf>
    <xf numFmtId="0" fontId="0" fillId="68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6" fontId="150" fillId="19" borderId="40" xfId="0" applyNumberFormat="1" applyFont="1" applyFill="1" applyBorder="1" applyAlignment="1">
      <alignment wrapText="1"/>
    </xf>
    <xf numFmtId="166" fontId="151" fillId="19" borderId="40" xfId="0" applyNumberFormat="1" applyFont="1" applyFill="1" applyBorder="1" applyAlignment="1">
      <alignment wrapText="1"/>
    </xf>
    <xf numFmtId="166" fontId="151" fillId="0" borderId="40" xfId="0" applyNumberFormat="1" applyFont="1" applyFill="1" applyBorder="1" applyAlignment="1">
      <alignment wrapText="1"/>
    </xf>
    <xf numFmtId="166" fontId="152" fillId="0" borderId="40" xfId="0" applyNumberFormat="1" applyFont="1" applyFill="1" applyBorder="1" applyAlignment="1">
      <alignment wrapText="1"/>
    </xf>
    <xf numFmtId="166" fontId="153" fillId="0" borderId="40" xfId="0" applyNumberFormat="1" applyFont="1" applyFill="1" applyBorder="1" applyAlignment="1">
      <alignment wrapText="1"/>
    </xf>
    <xf numFmtId="166" fontId="150" fillId="0" borderId="40" xfId="0" applyNumberFormat="1" applyFont="1" applyFill="1" applyBorder="1" applyAlignment="1">
      <alignment wrapText="1"/>
    </xf>
    <xf numFmtId="166" fontId="150" fillId="14" borderId="40" xfId="0" applyNumberFormat="1" applyFont="1" applyFill="1" applyBorder="1" applyAlignment="1">
      <alignment wrapText="1"/>
    </xf>
    <xf numFmtId="9" fontId="154" fillId="78" borderId="40" xfId="182" applyFont="1" applyFill="1" applyBorder="1" applyAlignment="1">
      <alignment wrapText="1"/>
    </xf>
    <xf numFmtId="9" fontId="155" fillId="0" borderId="40" xfId="182" applyFont="1" applyFill="1" applyBorder="1" applyAlignment="1">
      <alignment wrapText="1"/>
    </xf>
    <xf numFmtId="0" fontId="155" fillId="0" borderId="40" xfId="0" applyFont="1" applyBorder="1" applyAlignment="1">
      <alignment/>
    </xf>
    <xf numFmtId="167" fontId="153" fillId="0" borderId="40" xfId="0" applyNumberFormat="1" applyFont="1" applyFill="1" applyBorder="1" applyAlignment="1">
      <alignment wrapText="1"/>
    </xf>
    <xf numFmtId="0" fontId="0" fillId="0" borderId="51" xfId="0" applyBorder="1" applyAlignment="1">
      <alignment/>
    </xf>
    <xf numFmtId="0" fontId="0" fillId="89" borderId="0" xfId="0" applyFill="1" applyAlignment="1">
      <alignment horizontal="center" wrapText="1"/>
    </xf>
    <xf numFmtId="0" fontId="0" fillId="30" borderId="0" xfId="0" applyFill="1" applyAlignment="1">
      <alignment horizontal="center" wrapText="1"/>
    </xf>
    <xf numFmtId="0" fontId="0" fillId="13" borderId="0" xfId="0" applyFill="1" applyAlignment="1">
      <alignment horizontal="center" wrapText="1"/>
    </xf>
    <xf numFmtId="0" fontId="27" fillId="30" borderId="0" xfId="0" applyFont="1" applyFill="1" applyAlignment="1">
      <alignment horizontal="center" wrapText="1"/>
    </xf>
    <xf numFmtId="0" fontId="27" fillId="89" borderId="48" xfId="0" applyFont="1" applyFill="1" applyBorder="1" applyAlignment="1">
      <alignment horizontal="center" wrapText="1"/>
    </xf>
    <xf numFmtId="3" fontId="0" fillId="76" borderId="0" xfId="0" applyNumberFormat="1" applyFill="1" applyAlignment="1">
      <alignment/>
    </xf>
    <xf numFmtId="0" fontId="0" fillId="83" borderId="0" xfId="0" applyFill="1" applyBorder="1" applyAlignment="1">
      <alignment horizontal="center" wrapText="1"/>
    </xf>
    <xf numFmtId="0" fontId="156" fillId="62" borderId="98" xfId="0" applyFont="1" applyFill="1" applyBorder="1" applyAlignment="1">
      <alignment horizontal="center" vertical="center" wrapText="1"/>
    </xf>
    <xf numFmtId="0" fontId="156" fillId="62" borderId="99" xfId="0" applyFont="1" applyFill="1" applyBorder="1" applyAlignment="1">
      <alignment horizontal="center" vertical="center" wrapText="1"/>
    </xf>
    <xf numFmtId="0" fontId="0" fillId="64" borderId="78" xfId="0" applyFill="1" applyBorder="1" applyAlignment="1">
      <alignment horizontal="center" wrapText="1"/>
    </xf>
    <xf numFmtId="0" fontId="0" fillId="64" borderId="100" xfId="0" applyFill="1" applyBorder="1" applyAlignment="1">
      <alignment horizontal="center" wrapText="1"/>
    </xf>
    <xf numFmtId="3" fontId="115" fillId="0" borderId="40" xfId="124" applyNumberFormat="1" applyFont="1" applyFill="1" applyBorder="1">
      <alignment/>
      <protection/>
    </xf>
    <xf numFmtId="0" fontId="0" fillId="0" borderId="40" xfId="0" applyFont="1" applyFill="1" applyBorder="1" applyAlignment="1">
      <alignment/>
    </xf>
    <xf numFmtId="2" fontId="115" fillId="0" borderId="40" xfId="124" applyNumberFormat="1" applyFont="1" applyFill="1" applyBorder="1">
      <alignment/>
      <protection/>
    </xf>
    <xf numFmtId="0" fontId="115" fillId="0" borderId="40" xfId="124" applyFont="1" applyFill="1" applyBorder="1" applyAlignment="1">
      <alignment horizontal="center"/>
      <protection/>
    </xf>
    <xf numFmtId="0" fontId="115" fillId="0" borderId="40" xfId="124" applyFont="1" applyFill="1" applyBorder="1">
      <alignment/>
      <protection/>
    </xf>
    <xf numFmtId="0" fontId="117" fillId="90" borderId="47" xfId="97" applyFont="1" applyFill="1" applyBorder="1" applyAlignment="1">
      <alignment horizontal="left" wrapText="1"/>
      <protection/>
    </xf>
    <xf numFmtId="2" fontId="101" fillId="58" borderId="40" xfId="124" applyNumberFormat="1" applyFont="1" applyFill="1" applyBorder="1">
      <alignment/>
      <protection/>
    </xf>
    <xf numFmtId="0" fontId="115" fillId="90" borderId="48" xfId="97" applyFill="1" applyBorder="1" applyAlignment="1">
      <alignment horizontal="center" wrapText="1"/>
      <protection/>
    </xf>
    <xf numFmtId="3" fontId="101" fillId="58" borderId="40" xfId="124" applyNumberFormat="1" applyFont="1" applyFill="1" applyBorder="1">
      <alignment/>
      <protection/>
    </xf>
    <xf numFmtId="0" fontId="115" fillId="90" borderId="0" xfId="97" applyFill="1" applyAlignment="1">
      <alignment horizontal="center" wrapText="1"/>
      <protection/>
    </xf>
    <xf numFmtId="0" fontId="115" fillId="90" borderId="0" xfId="97" applyFill="1" applyAlignment="1">
      <alignment horizontal="left" wrapText="1"/>
      <protection/>
    </xf>
    <xf numFmtId="10" fontId="115" fillId="0" borderId="40" xfId="124" applyNumberFormat="1" applyFont="1" applyFill="1" applyBorder="1">
      <alignment/>
      <protection/>
    </xf>
    <xf numFmtId="0" fontId="115" fillId="0" borderId="0" xfId="97">
      <alignment/>
      <protection/>
    </xf>
    <xf numFmtId="0" fontId="115" fillId="0" borderId="0" xfId="97" applyAlignment="1">
      <alignment horizontal="left" indent="1"/>
      <protection/>
    </xf>
    <xf numFmtId="0" fontId="117" fillId="0" borderId="0" xfId="97" applyFont="1" applyAlignment="1">
      <alignment horizontal="left" indent="1"/>
      <protection/>
    </xf>
    <xf numFmtId="0" fontId="117" fillId="62" borderId="45" xfId="97" applyFont="1" applyFill="1" applyBorder="1" applyAlignment="1">
      <alignment horizontal="center" vertical="center" wrapText="1"/>
      <protection/>
    </xf>
    <xf numFmtId="0" fontId="117" fillId="63" borderId="0" xfId="97" applyFont="1" applyFill="1" applyAlignment="1">
      <alignment horizontal="left" wrapText="1"/>
      <protection/>
    </xf>
    <xf numFmtId="0" fontId="115" fillId="0" borderId="0" xfId="97" applyAlignment="1">
      <alignment horizontal="left" wrapText="1"/>
      <protection/>
    </xf>
    <xf numFmtId="0" fontId="115" fillId="0" borderId="0" xfId="97" applyAlignment="1">
      <alignment horizontal="center" wrapText="1"/>
      <protection/>
    </xf>
    <xf numFmtId="0" fontId="115" fillId="64" borderId="0" xfId="97" applyFill="1" applyAlignment="1">
      <alignment horizontal="left" wrapText="1"/>
      <protection/>
    </xf>
    <xf numFmtId="0" fontId="115" fillId="64" borderId="0" xfId="97" applyFill="1" applyAlignment="1">
      <alignment horizontal="center" wrapText="1"/>
      <protection/>
    </xf>
    <xf numFmtId="0" fontId="115" fillId="65" borderId="0" xfId="97" applyFill="1" applyAlignment="1">
      <alignment horizontal="left" wrapText="1"/>
      <protection/>
    </xf>
    <xf numFmtId="0" fontId="115" fillId="65" borderId="0" xfId="97" applyFill="1" applyAlignment="1">
      <alignment horizontal="center" wrapText="1"/>
      <protection/>
    </xf>
    <xf numFmtId="0" fontId="117" fillId="66" borderId="0" xfId="97" applyFont="1" applyFill="1" applyAlignment="1">
      <alignment horizontal="left" wrapText="1"/>
      <protection/>
    </xf>
    <xf numFmtId="0" fontId="117" fillId="66" borderId="0" xfId="97" applyFont="1" applyFill="1" applyAlignment="1">
      <alignment horizontal="center" wrapText="1"/>
      <protection/>
    </xf>
    <xf numFmtId="0" fontId="117" fillId="62" borderId="44" xfId="97" applyFont="1" applyFill="1" applyBorder="1" applyAlignment="1">
      <alignment horizontal="center" vertical="center" wrapText="1"/>
      <protection/>
    </xf>
    <xf numFmtId="0" fontId="117" fillId="62" borderId="46" xfId="97" applyFont="1" applyFill="1" applyBorder="1" applyAlignment="1">
      <alignment horizontal="center" vertical="center" wrapText="1"/>
      <protection/>
    </xf>
    <xf numFmtId="0" fontId="117" fillId="63" borderId="47" xfId="97" applyFont="1" applyFill="1" applyBorder="1" applyAlignment="1">
      <alignment horizontal="left" wrapText="1"/>
      <protection/>
    </xf>
    <xf numFmtId="0" fontId="117" fillId="63" borderId="48" xfId="97" applyFont="1" applyFill="1" applyBorder="1" applyAlignment="1">
      <alignment horizontal="left" wrapText="1"/>
      <protection/>
    </xf>
    <xf numFmtId="0" fontId="117" fillId="0" borderId="47" xfId="97" applyFont="1" applyBorder="1" applyAlignment="1">
      <alignment horizontal="left" wrapText="1"/>
      <protection/>
    </xf>
    <xf numFmtId="0" fontId="115" fillId="0" borderId="48" xfId="97" applyBorder="1" applyAlignment="1">
      <alignment horizontal="center" wrapText="1"/>
      <protection/>
    </xf>
    <xf numFmtId="0" fontId="117" fillId="64" borderId="47" xfId="97" applyFont="1" applyFill="1" applyBorder="1" applyAlignment="1">
      <alignment horizontal="left" wrapText="1"/>
      <protection/>
    </xf>
    <xf numFmtId="0" fontId="115" fillId="64" borderId="48" xfId="97" applyFill="1" applyBorder="1" applyAlignment="1">
      <alignment horizontal="center" wrapText="1"/>
      <protection/>
    </xf>
    <xf numFmtId="0" fontId="115" fillId="65" borderId="47" xfId="97" applyFill="1" applyBorder="1" applyAlignment="1">
      <alignment horizontal="left" wrapText="1"/>
      <protection/>
    </xf>
    <xf numFmtId="0" fontId="115" fillId="65" borderId="48" xfId="97" applyFill="1" applyBorder="1" applyAlignment="1">
      <alignment horizontal="center" wrapText="1"/>
      <protection/>
    </xf>
    <xf numFmtId="0" fontId="117" fillId="66" borderId="47" xfId="97" applyFont="1" applyFill="1" applyBorder="1" applyAlignment="1">
      <alignment horizontal="left" wrapText="1"/>
      <protection/>
    </xf>
    <xf numFmtId="0" fontId="117" fillId="66" borderId="48" xfId="97" applyFont="1" applyFill="1" applyBorder="1" applyAlignment="1">
      <alignment horizontal="center" wrapText="1"/>
      <protection/>
    </xf>
    <xf numFmtId="0" fontId="117" fillId="62" borderId="101" xfId="97" applyFont="1" applyFill="1" applyBorder="1" applyAlignment="1">
      <alignment vertical="center" wrapText="1"/>
      <protection/>
    </xf>
    <xf numFmtId="3" fontId="101" fillId="0" borderId="40" xfId="124" applyNumberFormat="1" applyFont="1" applyFill="1" applyBorder="1">
      <alignment/>
      <protection/>
    </xf>
    <xf numFmtId="2" fontId="101" fillId="0" borderId="40" xfId="124" applyNumberFormat="1" applyFont="1" applyFill="1" applyBorder="1">
      <alignment/>
      <protection/>
    </xf>
    <xf numFmtId="182" fontId="0" fillId="0" borderId="56" xfId="0" applyNumberFormat="1" applyFont="1" applyFill="1" applyBorder="1" applyAlignment="1">
      <alignment/>
    </xf>
    <xf numFmtId="49" fontId="0" fillId="0" borderId="102" xfId="0" applyNumberFormat="1" applyFont="1" applyBorder="1" applyAlignment="1">
      <alignment horizontal="right"/>
    </xf>
    <xf numFmtId="49" fontId="0" fillId="0" borderId="103" xfId="0" applyNumberFormat="1" applyFont="1" applyBorder="1" applyAlignment="1">
      <alignment horizontal="left"/>
    </xf>
    <xf numFmtId="49" fontId="27" fillId="12" borderId="56" xfId="0" applyNumberFormat="1" applyFont="1" applyFill="1" applyBorder="1" applyAlignment="1">
      <alignment horizontal="left"/>
    </xf>
    <xf numFmtId="0" fontId="27" fillId="12" borderId="57" xfId="0" applyFont="1" applyFill="1" applyBorder="1" applyAlignment="1">
      <alignment/>
    </xf>
    <xf numFmtId="49" fontId="27" fillId="6" borderId="60" xfId="0" applyNumberFormat="1" applyFont="1" applyFill="1" applyBorder="1" applyAlignment="1">
      <alignment horizontal="left"/>
    </xf>
    <xf numFmtId="0" fontId="27" fillId="6" borderId="55" xfId="0" applyFont="1" applyFill="1" applyBorder="1" applyAlignment="1">
      <alignment/>
    </xf>
    <xf numFmtId="49" fontId="0" fillId="13" borderId="102" xfId="0" applyNumberFormat="1" applyFont="1" applyFill="1" applyBorder="1" applyAlignment="1">
      <alignment horizontal="right"/>
    </xf>
    <xf numFmtId="49" fontId="0" fillId="13" borderId="103" xfId="0" applyNumberFormat="1" applyFont="1" applyFill="1" applyBorder="1" applyAlignment="1">
      <alignment horizontal="left"/>
    </xf>
    <xf numFmtId="49" fontId="27" fillId="0" borderId="102" xfId="0" applyNumberFormat="1" applyFont="1" applyBorder="1" applyAlignment="1">
      <alignment horizontal="right"/>
    </xf>
    <xf numFmtId="49" fontId="27" fillId="0" borderId="103" xfId="0" applyNumberFormat="1" applyFont="1" applyBorder="1" applyAlignment="1">
      <alignment horizontal="left"/>
    </xf>
    <xf numFmtId="0" fontId="25" fillId="0" borderId="63" xfId="0" applyFont="1" applyBorder="1" applyAlignment="1">
      <alignment/>
    </xf>
    <xf numFmtId="49" fontId="0" fillId="0" borderId="64" xfId="0" applyNumberFormat="1" applyFont="1" applyBorder="1" applyAlignment="1">
      <alignment horizontal="left"/>
    </xf>
    <xf numFmtId="0" fontId="25" fillId="0" borderId="65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67" xfId="0" applyFont="1" applyBorder="1" applyAlignment="1">
      <alignment/>
    </xf>
    <xf numFmtId="49" fontId="27" fillId="0" borderId="104" xfId="0" applyNumberFormat="1" applyFont="1" applyBorder="1" applyAlignment="1">
      <alignment horizontal="left"/>
    </xf>
    <xf numFmtId="49" fontId="0" fillId="0" borderId="105" xfId="0" applyNumberFormat="1" applyFont="1" applyBorder="1" applyAlignment="1">
      <alignment horizontal="left"/>
    </xf>
    <xf numFmtId="10" fontId="0" fillId="79" borderId="40" xfId="182" applyNumberFormat="1" applyFont="1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3" fontId="0" fillId="19" borderId="40" xfId="0" applyNumberFormat="1" applyFont="1" applyFill="1" applyBorder="1" applyAlignment="1">
      <alignment/>
    </xf>
    <xf numFmtId="0" fontId="115" fillId="0" borderId="0" xfId="97">
      <alignment/>
      <protection/>
    </xf>
    <xf numFmtId="2" fontId="115" fillId="0" borderId="0" xfId="97" applyNumberFormat="1">
      <alignment/>
      <protection/>
    </xf>
    <xf numFmtId="0" fontId="58" fillId="91" borderId="38" xfId="97" applyFont="1" applyFill="1" applyBorder="1" applyAlignment="1">
      <alignment horizontal="center" vertical="center" wrapText="1"/>
      <protection/>
    </xf>
    <xf numFmtId="174" fontId="0" fillId="74" borderId="19" xfId="182" applyNumberFormat="1" applyFont="1" applyFill="1" applyBorder="1" applyAlignment="1" applyProtection="1">
      <alignment/>
      <protection/>
    </xf>
    <xf numFmtId="166" fontId="0" fillId="74" borderId="19" xfId="182" applyNumberFormat="1" applyFont="1" applyFill="1" applyBorder="1" applyAlignment="1" applyProtection="1">
      <alignment/>
      <protection/>
    </xf>
    <xf numFmtId="0" fontId="128" fillId="0" borderId="0" xfId="168" applyFont="1" applyFill="1" applyBorder="1">
      <alignment/>
      <protection/>
    </xf>
    <xf numFmtId="182" fontId="27" fillId="0" borderId="102" xfId="0" applyNumberFormat="1" applyFont="1" applyFill="1" applyBorder="1" applyAlignment="1">
      <alignment/>
    </xf>
    <xf numFmtId="182" fontId="0" fillId="0" borderId="106" xfId="0" applyNumberFormat="1" applyFont="1" applyFill="1" applyBorder="1" applyAlignment="1">
      <alignment/>
    </xf>
    <xf numFmtId="182" fontId="0" fillId="0" borderId="107" xfId="0" applyNumberFormat="1" applyFont="1" applyFill="1" applyBorder="1" applyAlignment="1">
      <alignment/>
    </xf>
    <xf numFmtId="182" fontId="0" fillId="0" borderId="108" xfId="0" applyNumberFormat="1" applyFont="1" applyFill="1" applyBorder="1" applyAlignment="1">
      <alignment/>
    </xf>
    <xf numFmtId="10" fontId="27" fillId="0" borderId="109" xfId="0" applyNumberFormat="1" applyFont="1" applyFill="1" applyBorder="1" applyAlignment="1">
      <alignment/>
    </xf>
    <xf numFmtId="167" fontId="0" fillId="0" borderId="110" xfId="0" applyNumberForma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166" fontId="0" fillId="0" borderId="107" xfId="0" applyNumberFormat="1" applyFill="1" applyBorder="1" applyAlignment="1">
      <alignment/>
    </xf>
    <xf numFmtId="166" fontId="0" fillId="0" borderId="108" xfId="0" applyNumberFormat="1" applyFill="1" applyBorder="1" applyAlignment="1">
      <alignment/>
    </xf>
    <xf numFmtId="166" fontId="0" fillId="0" borderId="113" xfId="0" applyNumberFormat="1" applyFill="1" applyBorder="1" applyAlignment="1">
      <alignment/>
    </xf>
    <xf numFmtId="166" fontId="0" fillId="0" borderId="114" xfId="0" applyNumberFormat="1" applyFill="1" applyBorder="1" applyAlignment="1">
      <alignment/>
    </xf>
    <xf numFmtId="166" fontId="0" fillId="0" borderId="115" xfId="0" applyNumberFormat="1" applyFill="1" applyBorder="1" applyAlignment="1">
      <alignment/>
    </xf>
    <xf numFmtId="166" fontId="0" fillId="0" borderId="113" xfId="0" applyNumberFormat="1" applyBorder="1" applyAlignment="1">
      <alignment/>
    </xf>
    <xf numFmtId="166" fontId="0" fillId="0" borderId="114" xfId="0" applyNumberFormat="1" applyBorder="1" applyAlignment="1">
      <alignment/>
    </xf>
    <xf numFmtId="166" fontId="0" fillId="0" borderId="115" xfId="0" applyNumberFormat="1" applyBorder="1" applyAlignment="1">
      <alignment/>
    </xf>
    <xf numFmtId="174" fontId="0" fillId="0" borderId="110" xfId="182" applyNumberFormat="1" applyBorder="1" applyAlignment="1">
      <alignment/>
    </xf>
    <xf numFmtId="10" fontId="0" fillId="0" borderId="111" xfId="182" applyNumberFormat="1" applyBorder="1" applyAlignment="1">
      <alignment/>
    </xf>
    <xf numFmtId="224" fontId="0" fillId="0" borderId="0" xfId="0" applyNumberFormat="1" applyAlignment="1">
      <alignment/>
    </xf>
    <xf numFmtId="166" fontId="0" fillId="80" borderId="40" xfId="0" applyNumberFormat="1" applyFont="1" applyFill="1" applyBorder="1" applyAlignment="1">
      <alignment/>
    </xf>
    <xf numFmtId="166" fontId="0" fillId="81" borderId="40" xfId="0" applyNumberFormat="1" applyFont="1" applyFill="1" applyBorder="1" applyAlignment="1">
      <alignment/>
    </xf>
    <xf numFmtId="177" fontId="0" fillId="0" borderId="40" xfId="182" applyNumberFormat="1" applyFont="1" applyFill="1" applyBorder="1" applyAlignment="1">
      <alignment horizontal="right"/>
    </xf>
    <xf numFmtId="166" fontId="0" fillId="19" borderId="116" xfId="0" applyNumberFormat="1" applyFill="1" applyBorder="1" applyAlignment="1">
      <alignment/>
    </xf>
    <xf numFmtId="166" fontId="0" fillId="19" borderId="53" xfId="0" applyNumberFormat="1" applyFill="1" applyBorder="1" applyAlignment="1">
      <alignment/>
    </xf>
    <xf numFmtId="166" fontId="0" fillId="19" borderId="117" xfId="0" applyNumberFormat="1" applyFill="1" applyBorder="1" applyAlignment="1">
      <alignment/>
    </xf>
    <xf numFmtId="166" fontId="0" fillId="14" borderId="118" xfId="0" applyNumberFormat="1" applyFill="1" applyBorder="1" applyAlignment="1">
      <alignment/>
    </xf>
    <xf numFmtId="166" fontId="0" fillId="14" borderId="119" xfId="0" applyNumberFormat="1" applyFill="1" applyBorder="1" applyAlignment="1">
      <alignment/>
    </xf>
    <xf numFmtId="166" fontId="0" fillId="14" borderId="120" xfId="0" applyNumberFormat="1" applyFill="1" applyBorder="1" applyAlignment="1">
      <alignment/>
    </xf>
    <xf numFmtId="166" fontId="25" fillId="73" borderId="118" xfId="0" applyNumberFormat="1" applyFont="1" applyFill="1" applyBorder="1" applyAlignment="1">
      <alignment/>
    </xf>
    <xf numFmtId="166" fontId="25" fillId="73" borderId="119" xfId="0" applyNumberFormat="1" applyFont="1" applyFill="1" applyBorder="1" applyAlignment="1">
      <alignment/>
    </xf>
    <xf numFmtId="166" fontId="25" fillId="73" borderId="120" xfId="0" applyNumberFormat="1" applyFont="1" applyFill="1" applyBorder="1" applyAlignment="1">
      <alignment/>
    </xf>
    <xf numFmtId="166" fontId="25" fillId="56" borderId="121" xfId="0" applyNumberFormat="1" applyFont="1" applyFill="1" applyBorder="1" applyAlignment="1">
      <alignment/>
    </xf>
    <xf numFmtId="166" fontId="25" fillId="56" borderId="122" xfId="0" applyNumberFormat="1" applyFont="1" applyFill="1" applyBorder="1" applyAlignment="1">
      <alignment/>
    </xf>
    <xf numFmtId="166" fontId="25" fillId="56" borderId="123" xfId="0" applyNumberFormat="1" applyFont="1" applyFill="1" applyBorder="1" applyAlignment="1">
      <alignment/>
    </xf>
    <xf numFmtId="166" fontId="37" fillId="19" borderId="118" xfId="0" applyNumberFormat="1" applyFont="1" applyFill="1" applyBorder="1" applyAlignment="1">
      <alignment/>
    </xf>
    <xf numFmtId="166" fontId="25" fillId="0" borderId="124" xfId="0" applyNumberFormat="1" applyFont="1" applyBorder="1" applyAlignment="1">
      <alignment/>
    </xf>
    <xf numFmtId="166" fontId="25" fillId="0" borderId="125" xfId="0" applyNumberFormat="1" applyFont="1" applyBorder="1" applyAlignment="1">
      <alignment/>
    </xf>
    <xf numFmtId="166" fontId="25" fillId="0" borderId="126" xfId="0" applyNumberFormat="1" applyFont="1" applyBorder="1" applyAlignment="1">
      <alignment/>
    </xf>
    <xf numFmtId="166" fontId="37" fillId="14" borderId="118" xfId="0" applyNumberFormat="1" applyFont="1" applyFill="1" applyBorder="1" applyAlignment="1">
      <alignment/>
    </xf>
    <xf numFmtId="166" fontId="37" fillId="14" borderId="119" xfId="0" applyNumberFormat="1" applyFont="1" applyFill="1" applyBorder="1" applyAlignment="1">
      <alignment/>
    </xf>
    <xf numFmtId="166" fontId="37" fillId="14" borderId="120" xfId="0" applyNumberFormat="1" applyFont="1" applyFill="1" applyBorder="1" applyAlignment="1">
      <alignment/>
    </xf>
    <xf numFmtId="3" fontId="25" fillId="14" borderId="118" xfId="0" applyNumberFormat="1" applyFont="1" applyFill="1" applyBorder="1" applyAlignment="1">
      <alignment/>
    </xf>
    <xf numFmtId="3" fontId="25" fillId="14" borderId="119" xfId="0" applyNumberFormat="1" applyFont="1" applyFill="1" applyBorder="1" applyAlignment="1">
      <alignment/>
    </xf>
    <xf numFmtId="3" fontId="25" fillId="14" borderId="120" xfId="0" applyNumberFormat="1" applyFont="1" applyFill="1" applyBorder="1" applyAlignment="1">
      <alignment/>
    </xf>
    <xf numFmtId="3" fontId="25" fillId="0" borderId="127" xfId="0" applyNumberFormat="1" applyFont="1" applyBorder="1" applyAlignment="1">
      <alignment/>
    </xf>
    <xf numFmtId="3" fontId="25" fillId="0" borderId="122" xfId="0" applyNumberFormat="1" applyFont="1" applyBorder="1" applyAlignment="1">
      <alignment/>
    </xf>
    <xf numFmtId="3" fontId="25" fillId="0" borderId="128" xfId="0" applyNumberFormat="1" applyFont="1" applyBorder="1" applyAlignment="1">
      <alignment/>
    </xf>
    <xf numFmtId="172" fontId="25" fillId="14" borderId="118" xfId="0" applyNumberFormat="1" applyFont="1" applyFill="1" applyBorder="1" applyAlignment="1">
      <alignment/>
    </xf>
    <xf numFmtId="172" fontId="25" fillId="14" borderId="119" xfId="0" applyNumberFormat="1" applyFont="1" applyFill="1" applyBorder="1" applyAlignment="1">
      <alignment/>
    </xf>
    <xf numFmtId="172" fontId="25" fillId="14" borderId="120" xfId="0" applyNumberFormat="1" applyFont="1" applyFill="1" applyBorder="1" applyAlignment="1">
      <alignment/>
    </xf>
    <xf numFmtId="0" fontId="0" fillId="0" borderId="127" xfId="0" applyBorder="1" applyAlignment="1">
      <alignment/>
    </xf>
    <xf numFmtId="0" fontId="25" fillId="0" borderId="122" xfId="0" applyFont="1" applyBorder="1" applyAlignment="1">
      <alignment/>
    </xf>
    <xf numFmtId="0" fontId="25" fillId="0" borderId="128" xfId="0" applyFont="1" applyBorder="1" applyAlignment="1">
      <alignment/>
    </xf>
    <xf numFmtId="3" fontId="25" fillId="0" borderId="118" xfId="0" applyNumberFormat="1" applyFont="1" applyBorder="1" applyAlignment="1">
      <alignment/>
    </xf>
    <xf numFmtId="3" fontId="25" fillId="0" borderId="119" xfId="0" applyNumberFormat="1" applyFont="1" applyBorder="1" applyAlignment="1">
      <alignment/>
    </xf>
    <xf numFmtId="3" fontId="25" fillId="0" borderId="120" xfId="0" applyNumberFormat="1" applyFont="1" applyBorder="1" applyAlignment="1">
      <alignment/>
    </xf>
    <xf numFmtId="3" fontId="0" fillId="0" borderId="118" xfId="0" applyNumberFormat="1" applyBorder="1" applyAlignment="1">
      <alignment/>
    </xf>
    <xf numFmtId="172" fontId="25" fillId="0" borderId="118" xfId="0" applyNumberFormat="1" applyFont="1" applyBorder="1" applyAlignment="1">
      <alignment/>
    </xf>
    <xf numFmtId="172" fontId="25" fillId="0" borderId="119" xfId="0" applyNumberFormat="1" applyFont="1" applyBorder="1" applyAlignment="1">
      <alignment/>
    </xf>
    <xf numFmtId="172" fontId="25" fillId="0" borderId="120" xfId="0" applyNumberFormat="1" applyFont="1" applyBorder="1" applyAlignment="1">
      <alignment/>
    </xf>
    <xf numFmtId="3" fontId="25" fillId="0" borderId="118" xfId="0" applyNumberFormat="1" applyFont="1" applyFill="1" applyBorder="1" applyAlignment="1">
      <alignment/>
    </xf>
    <xf numFmtId="3" fontId="25" fillId="0" borderId="119" xfId="0" applyNumberFormat="1" applyFont="1" applyFill="1" applyBorder="1" applyAlignment="1">
      <alignment/>
    </xf>
    <xf numFmtId="3" fontId="25" fillId="0" borderId="120" xfId="0" applyNumberFormat="1" applyFont="1" applyFill="1" applyBorder="1" applyAlignment="1">
      <alignment/>
    </xf>
    <xf numFmtId="172" fontId="25" fillId="0" borderId="118" xfId="0" applyNumberFormat="1" applyFont="1" applyFill="1" applyBorder="1" applyAlignment="1">
      <alignment/>
    </xf>
    <xf numFmtId="172" fontId="25" fillId="0" borderId="119" xfId="0" applyNumberFormat="1" applyFont="1" applyFill="1" applyBorder="1" applyAlignment="1">
      <alignment/>
    </xf>
    <xf numFmtId="172" fontId="25" fillId="0" borderId="120" xfId="0" applyNumberFormat="1" applyFont="1" applyFill="1" applyBorder="1" applyAlignment="1">
      <alignment/>
    </xf>
    <xf numFmtId="172" fontId="0" fillId="0" borderId="127" xfId="0" applyNumberFormat="1" applyFill="1" applyBorder="1" applyAlignment="1">
      <alignment/>
    </xf>
    <xf numFmtId="172" fontId="25" fillId="0" borderId="122" xfId="0" applyNumberFormat="1" applyFont="1" applyFill="1" applyBorder="1" applyAlignment="1">
      <alignment/>
    </xf>
    <xf numFmtId="172" fontId="25" fillId="0" borderId="128" xfId="0" applyNumberFormat="1" applyFont="1" applyFill="1" applyBorder="1" applyAlignment="1">
      <alignment/>
    </xf>
    <xf numFmtId="49" fontId="25" fillId="0" borderId="129" xfId="0" applyNumberFormat="1" applyFont="1" applyFill="1" applyBorder="1" applyAlignment="1">
      <alignment horizontal="left"/>
    </xf>
    <xf numFmtId="49" fontId="25" fillId="0" borderId="125" xfId="0" applyNumberFormat="1" applyFont="1" applyFill="1" applyBorder="1" applyAlignment="1">
      <alignment horizontal="left"/>
    </xf>
    <xf numFmtId="49" fontId="25" fillId="0" borderId="130" xfId="0" applyNumberFormat="1" applyFont="1" applyFill="1" applyBorder="1" applyAlignment="1">
      <alignment horizontal="left"/>
    </xf>
    <xf numFmtId="0" fontId="0" fillId="0" borderId="52" xfId="0" applyFont="1" applyBorder="1" applyAlignment="1">
      <alignment/>
    </xf>
    <xf numFmtId="0" fontId="25" fillId="0" borderId="53" xfId="0" applyFont="1" applyFill="1" applyBorder="1" applyAlignment="1">
      <alignment/>
    </xf>
    <xf numFmtId="0" fontId="25" fillId="0" borderId="54" xfId="0" applyFont="1" applyFill="1" applyBorder="1" applyAlignment="1">
      <alignment/>
    </xf>
    <xf numFmtId="3" fontId="25" fillId="19" borderId="118" xfId="0" applyNumberFormat="1" applyFont="1" applyFill="1" applyBorder="1" applyAlignment="1">
      <alignment/>
    </xf>
    <xf numFmtId="3" fontId="25" fillId="19" borderId="119" xfId="0" applyNumberFormat="1" applyFont="1" applyFill="1" applyBorder="1" applyAlignment="1">
      <alignment/>
    </xf>
    <xf numFmtId="3" fontId="25" fillId="19" borderId="120" xfId="0" applyNumberFormat="1" applyFont="1" applyFill="1" applyBorder="1" applyAlignment="1">
      <alignment/>
    </xf>
    <xf numFmtId="172" fontId="25" fillId="19" borderId="118" xfId="0" applyNumberFormat="1" applyFont="1" applyFill="1" applyBorder="1" applyAlignment="1">
      <alignment/>
    </xf>
    <xf numFmtId="172" fontId="25" fillId="19" borderId="119" xfId="0" applyNumberFormat="1" applyFont="1" applyFill="1" applyBorder="1" applyAlignment="1">
      <alignment/>
    </xf>
    <xf numFmtId="172" fontId="25" fillId="19" borderId="120" xfId="0" applyNumberFormat="1" applyFont="1" applyFill="1" applyBorder="1" applyAlignment="1">
      <alignment/>
    </xf>
    <xf numFmtId="3" fontId="0" fillId="85" borderId="34" xfId="0" applyNumberFormat="1" applyFill="1" applyBorder="1" applyAlignment="1">
      <alignment/>
    </xf>
    <xf numFmtId="3" fontId="0" fillId="85" borderId="22" xfId="0" applyNumberFormat="1" applyFill="1" applyBorder="1" applyAlignment="1">
      <alignment/>
    </xf>
    <xf numFmtId="3" fontId="25" fillId="85" borderId="118" xfId="0" applyNumberFormat="1" applyFont="1" applyFill="1" applyBorder="1" applyAlignment="1">
      <alignment/>
    </xf>
    <xf numFmtId="3" fontId="25" fillId="85" borderId="119" xfId="0" applyNumberFormat="1" applyFont="1" applyFill="1" applyBorder="1" applyAlignment="1">
      <alignment/>
    </xf>
    <xf numFmtId="3" fontId="25" fillId="85" borderId="120" xfId="0" applyNumberFormat="1" applyFont="1" applyFill="1" applyBorder="1" applyAlignment="1">
      <alignment/>
    </xf>
    <xf numFmtId="3" fontId="0" fillId="87" borderId="34" xfId="0" applyNumberFormat="1" applyFill="1" applyBorder="1" applyAlignment="1">
      <alignment/>
    </xf>
    <xf numFmtId="3" fontId="0" fillId="87" borderId="22" xfId="0" applyNumberFormat="1" applyFill="1" applyBorder="1" applyAlignment="1">
      <alignment/>
    </xf>
    <xf numFmtId="10" fontId="25" fillId="0" borderId="125" xfId="0" applyNumberFormat="1" applyFont="1" applyBorder="1" applyAlignment="1">
      <alignment/>
    </xf>
    <xf numFmtId="10" fontId="25" fillId="0" borderId="130" xfId="0" applyNumberFormat="1" applyFont="1" applyBorder="1" applyAlignment="1">
      <alignment/>
    </xf>
    <xf numFmtId="10" fontId="0" fillId="19" borderId="34" xfId="182" applyNumberFormat="1" applyFont="1" applyFill="1" applyBorder="1" applyAlignment="1" applyProtection="1">
      <alignment/>
      <protection/>
    </xf>
    <xf numFmtId="10" fontId="0" fillId="19" borderId="22" xfId="182" applyNumberFormat="1" applyFont="1" applyFill="1" applyBorder="1" applyAlignment="1" applyProtection="1">
      <alignment/>
      <protection/>
    </xf>
    <xf numFmtId="10" fontId="25" fillId="19" borderId="118" xfId="0" applyNumberFormat="1" applyFont="1" applyFill="1" applyBorder="1" applyAlignment="1">
      <alignment/>
    </xf>
    <xf numFmtId="10" fontId="25" fillId="19" borderId="119" xfId="0" applyNumberFormat="1" applyFont="1" applyFill="1" applyBorder="1" applyAlignment="1">
      <alignment/>
    </xf>
    <xf numFmtId="10" fontId="25" fillId="19" borderId="120" xfId="0" applyNumberFormat="1" applyFont="1" applyFill="1" applyBorder="1" applyAlignment="1">
      <alignment/>
    </xf>
    <xf numFmtId="10" fontId="0" fillId="0" borderId="34" xfId="182" applyNumberFormat="1" applyFont="1" applyFill="1" applyBorder="1" applyAlignment="1" applyProtection="1">
      <alignment/>
      <protection/>
    </xf>
    <xf numFmtId="10" fontId="0" fillId="0" borderId="22" xfId="182" applyNumberFormat="1" applyFont="1" applyFill="1" applyBorder="1" applyAlignment="1" applyProtection="1">
      <alignment/>
      <protection/>
    </xf>
    <xf numFmtId="10" fontId="25" fillId="0" borderId="118" xfId="0" applyNumberFormat="1" applyFont="1" applyBorder="1" applyAlignment="1">
      <alignment/>
    </xf>
    <xf numFmtId="10" fontId="25" fillId="0" borderId="119" xfId="0" applyNumberFormat="1" applyFont="1" applyBorder="1" applyAlignment="1">
      <alignment/>
    </xf>
    <xf numFmtId="10" fontId="25" fillId="0" borderId="120" xfId="0" applyNumberFormat="1" applyFont="1" applyBorder="1" applyAlignment="1">
      <alignment/>
    </xf>
    <xf numFmtId="10" fontId="0" fillId="0" borderId="129" xfId="0" applyNumberFormat="1" applyBorder="1" applyAlignment="1">
      <alignment/>
    </xf>
    <xf numFmtId="10" fontId="0" fillId="0" borderId="127" xfId="0" applyNumberFormat="1" applyBorder="1" applyAlignment="1">
      <alignment/>
    </xf>
    <xf numFmtId="10" fontId="25" fillId="0" borderId="122" xfId="0" applyNumberFormat="1" applyFont="1" applyBorder="1" applyAlignment="1">
      <alignment/>
    </xf>
    <xf numFmtId="10" fontId="25" fillId="0" borderId="128" xfId="0" applyNumberFormat="1" applyFont="1" applyBorder="1" applyAlignment="1">
      <alignment/>
    </xf>
    <xf numFmtId="10" fontId="0" fillId="14" borderId="34" xfId="182" applyNumberFormat="1" applyFont="1" applyFill="1" applyBorder="1" applyAlignment="1" applyProtection="1">
      <alignment/>
      <protection/>
    </xf>
    <xf numFmtId="10" fontId="0" fillId="14" borderId="22" xfId="182" applyNumberFormat="1" applyFont="1" applyFill="1" applyBorder="1" applyAlignment="1" applyProtection="1">
      <alignment/>
      <protection/>
    </xf>
    <xf numFmtId="10" fontId="25" fillId="14" borderId="118" xfId="0" applyNumberFormat="1" applyFont="1" applyFill="1" applyBorder="1" applyAlignment="1">
      <alignment/>
    </xf>
    <xf numFmtId="10" fontId="25" fillId="14" borderId="119" xfId="0" applyNumberFormat="1" applyFont="1" applyFill="1" applyBorder="1" applyAlignment="1">
      <alignment/>
    </xf>
    <xf numFmtId="10" fontId="25" fillId="14" borderId="120" xfId="0" applyNumberFormat="1" applyFont="1" applyFill="1" applyBorder="1" applyAlignment="1">
      <alignment/>
    </xf>
    <xf numFmtId="10" fontId="25" fillId="85" borderId="118" xfId="0" applyNumberFormat="1" applyFont="1" applyFill="1" applyBorder="1" applyAlignment="1">
      <alignment/>
    </xf>
    <xf numFmtId="10" fontId="25" fillId="85" borderId="119" xfId="0" applyNumberFormat="1" applyFont="1" applyFill="1" applyBorder="1" applyAlignment="1">
      <alignment/>
    </xf>
    <xf numFmtId="10" fontId="25" fillId="85" borderId="120" xfId="0" applyNumberFormat="1" applyFont="1" applyFill="1" applyBorder="1" applyAlignment="1">
      <alignment/>
    </xf>
    <xf numFmtId="10" fontId="0" fillId="2" borderId="34" xfId="182" applyNumberFormat="1" applyFont="1" applyFill="1" applyBorder="1" applyAlignment="1" applyProtection="1">
      <alignment/>
      <protection/>
    </xf>
    <xf numFmtId="10" fontId="0" fillId="2" borderId="22" xfId="182" applyNumberFormat="1" applyFont="1" applyFill="1" applyBorder="1" applyAlignment="1" applyProtection="1">
      <alignment/>
      <protection/>
    </xf>
    <xf numFmtId="10" fontId="0" fillId="0" borderId="118" xfId="0" applyNumberFormat="1" applyBorder="1" applyAlignment="1">
      <alignment/>
    </xf>
    <xf numFmtId="10" fontId="0" fillId="0" borderId="118" xfId="0" applyNumberFormat="1" applyFill="1" applyBorder="1" applyAlignment="1">
      <alignment/>
    </xf>
    <xf numFmtId="10" fontId="0" fillId="0" borderId="119" xfId="0" applyNumberFormat="1" applyFill="1" applyBorder="1" applyAlignment="1">
      <alignment/>
    </xf>
    <xf numFmtId="10" fontId="0" fillId="0" borderId="120" xfId="0" applyNumberFormat="1" applyFill="1" applyBorder="1" applyAlignment="1">
      <alignment/>
    </xf>
    <xf numFmtId="10" fontId="25" fillId="0" borderId="118" xfId="0" applyNumberFormat="1" applyFont="1" applyFill="1" applyBorder="1" applyAlignment="1">
      <alignment/>
    </xf>
    <xf numFmtId="10" fontId="25" fillId="0" borderId="119" xfId="0" applyNumberFormat="1" applyFont="1" applyFill="1" applyBorder="1" applyAlignment="1">
      <alignment/>
    </xf>
    <xf numFmtId="10" fontId="25" fillId="0" borderId="120" xfId="0" applyNumberFormat="1" applyFont="1" applyFill="1" applyBorder="1" applyAlignment="1">
      <alignment/>
    </xf>
    <xf numFmtId="10" fontId="0" fillId="0" borderId="127" xfId="0" applyNumberFormat="1" applyFill="1" applyBorder="1" applyAlignment="1">
      <alignment/>
    </xf>
    <xf numFmtId="10" fontId="25" fillId="0" borderId="122" xfId="0" applyNumberFormat="1" applyFont="1" applyFill="1" applyBorder="1" applyAlignment="1">
      <alignment/>
    </xf>
    <xf numFmtId="10" fontId="25" fillId="0" borderId="128" xfId="0" applyNumberFormat="1" applyFont="1" applyFill="1" applyBorder="1" applyAlignment="1">
      <alignment/>
    </xf>
    <xf numFmtId="0" fontId="0" fillId="13" borderId="52" xfId="0" applyFont="1" applyFill="1" applyBorder="1" applyAlignment="1">
      <alignment/>
    </xf>
    <xf numFmtId="0" fontId="25" fillId="13" borderId="53" xfId="0" applyFont="1" applyFill="1" applyBorder="1" applyAlignment="1">
      <alignment/>
    </xf>
    <xf numFmtId="0" fontId="25" fillId="13" borderId="54" xfId="0" applyFont="1" applyFill="1" applyBorder="1" applyAlignment="1">
      <alignment/>
    </xf>
    <xf numFmtId="166" fontId="25" fillId="13" borderId="131" xfId="0" applyNumberFormat="1" applyFont="1" applyFill="1" applyBorder="1" applyAlignment="1">
      <alignment/>
    </xf>
    <xf numFmtId="182" fontId="0" fillId="0" borderId="132" xfId="0" applyNumberFormat="1" applyFill="1" applyBorder="1" applyAlignment="1">
      <alignment/>
    </xf>
    <xf numFmtId="182" fontId="0" fillId="0" borderId="119" xfId="0" applyNumberFormat="1" applyFill="1" applyBorder="1" applyAlignment="1">
      <alignment/>
    </xf>
    <xf numFmtId="182" fontId="0" fillId="0" borderId="133" xfId="0" applyNumberFormat="1" applyFill="1" applyBorder="1" applyAlignment="1">
      <alignment/>
    </xf>
    <xf numFmtId="166" fontId="0" fillId="0" borderId="132" xfId="0" applyNumberFormat="1" applyBorder="1" applyAlignment="1">
      <alignment/>
    </xf>
    <xf numFmtId="166" fontId="0" fillId="0" borderId="119" xfId="0" applyNumberFormat="1" applyBorder="1" applyAlignment="1">
      <alignment/>
    </xf>
    <xf numFmtId="166" fontId="0" fillId="0" borderId="133" xfId="0" applyNumberFormat="1" applyBorder="1" applyAlignment="1">
      <alignment/>
    </xf>
    <xf numFmtId="166" fontId="0" fillId="59" borderId="129" xfId="0" applyNumberFormat="1" applyFill="1" applyBorder="1" applyAlignment="1">
      <alignment/>
    </xf>
    <xf numFmtId="166" fontId="0" fillId="59" borderId="125" xfId="0" applyNumberFormat="1" applyFill="1" applyBorder="1" applyAlignment="1">
      <alignment/>
    </xf>
    <xf numFmtId="166" fontId="0" fillId="59" borderId="130" xfId="0" applyNumberFormat="1" applyFill="1" applyBorder="1" applyAlignment="1">
      <alignment/>
    </xf>
    <xf numFmtId="166" fontId="0" fillId="56" borderId="132" xfId="0" applyNumberFormat="1" applyFill="1" applyBorder="1" applyAlignment="1">
      <alignment/>
    </xf>
    <xf numFmtId="166" fontId="0" fillId="56" borderId="119" xfId="0" applyNumberFormat="1" applyFill="1" applyBorder="1" applyAlignment="1">
      <alignment/>
    </xf>
    <xf numFmtId="166" fontId="0" fillId="56" borderId="133" xfId="0" applyNumberFormat="1" applyFill="1" applyBorder="1" applyAlignment="1">
      <alignment/>
    </xf>
    <xf numFmtId="174" fontId="0" fillId="13" borderId="132" xfId="182" applyNumberFormat="1" applyFont="1" applyFill="1" applyBorder="1" applyAlignment="1" applyProtection="1">
      <alignment/>
      <protection/>
    </xf>
    <xf numFmtId="174" fontId="25" fillId="13" borderId="119" xfId="0" applyNumberFormat="1" applyFont="1" applyFill="1" applyBorder="1" applyAlignment="1">
      <alignment/>
    </xf>
    <xf numFmtId="174" fontId="25" fillId="13" borderId="133" xfId="0" applyNumberFormat="1" applyFont="1" applyFill="1" applyBorder="1" applyAlignment="1">
      <alignment/>
    </xf>
    <xf numFmtId="166" fontId="0" fillId="70" borderId="21" xfId="0" applyNumberFormat="1" applyFill="1" applyBorder="1" applyAlignment="1">
      <alignment/>
    </xf>
    <xf numFmtId="167" fontId="25" fillId="13" borderId="119" xfId="0" applyNumberFormat="1" applyFont="1" applyFill="1" applyBorder="1" applyAlignment="1">
      <alignment/>
    </xf>
    <xf numFmtId="167" fontId="25" fillId="13" borderId="132" xfId="0" applyNumberFormat="1" applyFont="1" applyFill="1" applyBorder="1" applyAlignment="1">
      <alignment/>
    </xf>
    <xf numFmtId="167" fontId="25" fillId="13" borderId="133" xfId="0" applyNumberFormat="1" applyFont="1" applyFill="1" applyBorder="1" applyAlignment="1">
      <alignment/>
    </xf>
    <xf numFmtId="166" fontId="25" fillId="13" borderId="134" xfId="0" applyNumberFormat="1" applyFont="1" applyFill="1" applyBorder="1" applyAlignment="1">
      <alignment/>
    </xf>
    <xf numFmtId="166" fontId="25" fillId="13" borderId="135" xfId="0" applyNumberFormat="1" applyFont="1" applyFill="1" applyBorder="1" applyAlignment="1">
      <alignment/>
    </xf>
    <xf numFmtId="182" fontId="25" fillId="88" borderId="114" xfId="0" applyNumberFormat="1" applyFont="1" applyFill="1" applyBorder="1" applyAlignment="1">
      <alignment/>
    </xf>
    <xf numFmtId="182" fontId="25" fillId="68" borderId="136" xfId="0" applyNumberFormat="1" applyFont="1" applyFill="1" applyBorder="1" applyAlignment="1">
      <alignment/>
    </xf>
    <xf numFmtId="0" fontId="27" fillId="19" borderId="21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37" xfId="0" applyFont="1" applyBorder="1" applyAlignment="1">
      <alignment horizontal="center" vertical="center" wrapText="1"/>
    </xf>
    <xf numFmtId="0" fontId="61" fillId="0" borderId="138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0" fillId="0" borderId="40" xfId="0" applyNumberFormat="1" applyFont="1" applyBorder="1" applyAlignment="1">
      <alignment horizontal="center"/>
    </xf>
    <xf numFmtId="49" fontId="64" fillId="0" borderId="139" xfId="128" applyNumberFormat="1" applyFont="1" applyFill="1" applyBorder="1" applyAlignment="1" applyProtection="1">
      <alignment horizontal="center" vertical="center"/>
      <protection/>
    </xf>
    <xf numFmtId="49" fontId="157" fillId="0" borderId="20" xfId="124" applyNumberFormat="1" applyFont="1" applyBorder="1" applyAlignment="1">
      <alignment horizontal="right"/>
      <protection/>
    </xf>
    <xf numFmtId="49" fontId="157" fillId="0" borderId="23" xfId="124" applyNumberFormat="1" applyFont="1" applyBorder="1" applyAlignment="1">
      <alignment horizontal="left"/>
      <protection/>
    </xf>
    <xf numFmtId="0" fontId="157" fillId="0" borderId="40" xfId="124" applyFont="1" applyBorder="1">
      <alignment/>
      <protection/>
    </xf>
    <xf numFmtId="49" fontId="157" fillId="21" borderId="20" xfId="124" applyNumberFormat="1" applyFont="1" applyFill="1" applyBorder="1" applyAlignment="1">
      <alignment horizontal="right"/>
      <protection/>
    </xf>
    <xf numFmtId="49" fontId="157" fillId="21" borderId="23" xfId="124" applyNumberFormat="1" applyFont="1" applyFill="1" applyBorder="1" applyAlignment="1">
      <alignment horizontal="left"/>
      <protection/>
    </xf>
    <xf numFmtId="166" fontId="157" fillId="21" borderId="40" xfId="124" applyNumberFormat="1" applyFont="1" applyFill="1" applyBorder="1">
      <alignment/>
      <protection/>
    </xf>
    <xf numFmtId="49" fontId="157" fillId="30" borderId="20" xfId="124" applyNumberFormat="1" applyFont="1" applyFill="1" applyBorder="1" applyAlignment="1">
      <alignment horizontal="right"/>
      <protection/>
    </xf>
    <xf numFmtId="49" fontId="157" fillId="30" borderId="23" xfId="124" applyNumberFormat="1" applyFont="1" applyFill="1" applyBorder="1" applyAlignment="1">
      <alignment horizontal="left"/>
      <protection/>
    </xf>
    <xf numFmtId="166" fontId="157" fillId="30" borderId="40" xfId="124" applyNumberFormat="1" applyFont="1" applyFill="1" applyBorder="1">
      <alignment/>
      <protection/>
    </xf>
    <xf numFmtId="49" fontId="157" fillId="25" borderId="20" xfId="124" applyNumberFormat="1" applyFont="1" applyFill="1" applyBorder="1" applyAlignment="1">
      <alignment horizontal="right"/>
      <protection/>
    </xf>
    <xf numFmtId="49" fontId="157" fillId="25" borderId="23" xfId="124" applyNumberFormat="1" applyFont="1" applyFill="1" applyBorder="1" applyAlignment="1">
      <alignment horizontal="left"/>
      <protection/>
    </xf>
    <xf numFmtId="166" fontId="157" fillId="25" borderId="40" xfId="124" applyNumberFormat="1" applyFont="1" applyFill="1" applyBorder="1">
      <alignment/>
      <protection/>
    </xf>
    <xf numFmtId="49" fontId="157" fillId="20" borderId="20" xfId="124" applyNumberFormat="1" applyFont="1" applyFill="1" applyBorder="1" applyAlignment="1">
      <alignment horizontal="right"/>
      <protection/>
    </xf>
    <xf numFmtId="49" fontId="157" fillId="20" borderId="23" xfId="124" applyNumberFormat="1" applyFont="1" applyFill="1" applyBorder="1" applyAlignment="1">
      <alignment horizontal="left"/>
      <protection/>
    </xf>
    <xf numFmtId="166" fontId="157" fillId="20" borderId="40" xfId="124" applyNumberFormat="1" applyFont="1" applyFill="1" applyBorder="1">
      <alignment/>
      <protection/>
    </xf>
    <xf numFmtId="49" fontId="157" fillId="0" borderId="20" xfId="124" applyNumberFormat="1" applyFont="1" applyFill="1" applyBorder="1" applyAlignment="1">
      <alignment horizontal="right"/>
      <protection/>
    </xf>
    <xf numFmtId="49" fontId="157" fillId="0" borderId="23" xfId="124" applyNumberFormat="1" applyFont="1" applyFill="1" applyBorder="1" applyAlignment="1">
      <alignment horizontal="left"/>
      <protection/>
    </xf>
    <xf numFmtId="0" fontId="157" fillId="0" borderId="40" xfId="124" applyFont="1" applyFill="1" applyBorder="1">
      <alignment/>
      <protection/>
    </xf>
    <xf numFmtId="0" fontId="61" fillId="12" borderId="20" xfId="124" applyFont="1" applyFill="1" applyBorder="1">
      <alignment/>
      <protection/>
    </xf>
    <xf numFmtId="166" fontId="158" fillId="58" borderId="40" xfId="124" applyNumberFormat="1" applyFont="1" applyFill="1" applyBorder="1" applyAlignment="1">
      <alignment vertical="top" wrapText="1"/>
      <protection/>
    </xf>
    <xf numFmtId="0" fontId="157" fillId="0" borderId="0" xfId="124" applyFont="1">
      <alignment/>
      <protection/>
    </xf>
    <xf numFmtId="166" fontId="157" fillId="0" borderId="0" xfId="124" applyNumberFormat="1" applyFont="1" applyBorder="1" applyAlignment="1">
      <alignment vertical="top" wrapText="1"/>
      <protection/>
    </xf>
    <xf numFmtId="0" fontId="115" fillId="0" borderId="0" xfId="124" applyFont="1">
      <alignment/>
      <protection/>
    </xf>
    <xf numFmtId="0" fontId="61" fillId="0" borderId="40" xfId="0" applyFont="1" applyBorder="1" applyAlignment="1">
      <alignment horizontal="center" vertical="center" wrapText="1"/>
    </xf>
    <xf numFmtId="49" fontId="19" fillId="12" borderId="19" xfId="124" applyNumberFormat="1" applyFont="1" applyFill="1" applyBorder="1" applyAlignment="1">
      <alignment horizontal="left"/>
      <protection/>
    </xf>
    <xf numFmtId="0" fontId="27" fillId="0" borderId="2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208" fontId="0" fillId="0" borderId="40" xfId="0" applyNumberFormat="1" applyBorder="1" applyAlignment="1">
      <alignment horizontal="center"/>
    </xf>
    <xf numFmtId="0" fontId="27" fillId="19" borderId="21" xfId="0" applyFont="1" applyFill="1" applyBorder="1" applyAlignment="1">
      <alignment horizontal="center"/>
    </xf>
    <xf numFmtId="0" fontId="68" fillId="0" borderId="0" xfId="93" applyFont="1" applyFill="1" applyBorder="1" applyAlignment="1">
      <alignment vertical="center"/>
      <protection/>
    </xf>
    <xf numFmtId="0" fontId="65" fillId="25" borderId="60" xfId="128" applyFont="1" applyFill="1" applyBorder="1" applyAlignment="1">
      <alignment horizontal="center" vertical="center" wrapText="1"/>
      <protection/>
    </xf>
    <xf numFmtId="0" fontId="65" fillId="25" borderId="55" xfId="128" applyFont="1" applyFill="1" applyBorder="1" applyAlignment="1">
      <alignment horizontal="center" vertical="center" wrapText="1"/>
      <protection/>
    </xf>
    <xf numFmtId="49" fontId="58" fillId="0" borderId="140" xfId="128" applyNumberFormat="1" applyFont="1" applyFill="1" applyBorder="1" applyAlignment="1" applyProtection="1">
      <alignment horizontal="left" vertical="center"/>
      <protection/>
    </xf>
    <xf numFmtId="49" fontId="58" fillId="0" borderId="55" xfId="128" applyNumberFormat="1" applyFont="1" applyFill="1" applyBorder="1" applyAlignment="1" applyProtection="1">
      <alignment horizontal="left" vertical="center"/>
      <protection/>
    </xf>
    <xf numFmtId="174" fontId="69" fillId="0" borderId="40" xfId="128" applyNumberFormat="1" applyFont="1" applyFill="1" applyBorder="1" applyAlignment="1" applyProtection="1">
      <alignment horizontal="right" vertical="center"/>
      <protection/>
    </xf>
    <xf numFmtId="174" fontId="69" fillId="0" borderId="40" xfId="181" applyNumberFormat="1" applyFont="1" applyFill="1" applyBorder="1" applyAlignment="1" applyProtection="1">
      <alignment horizontal="right" vertical="center"/>
      <protection/>
    </xf>
    <xf numFmtId="49" fontId="58" fillId="0" borderId="141" xfId="128" applyNumberFormat="1" applyFont="1" applyFill="1" applyBorder="1" applyAlignment="1" applyProtection="1">
      <alignment horizontal="left" vertical="center"/>
      <protection/>
    </xf>
    <xf numFmtId="49" fontId="58" fillId="0" borderId="0" xfId="128" applyNumberFormat="1" applyFont="1" applyFill="1" applyBorder="1" applyAlignment="1" applyProtection="1">
      <alignment horizontal="left" vertical="center"/>
      <protection/>
    </xf>
    <xf numFmtId="49" fontId="58" fillId="0" borderId="142" xfId="128" applyNumberFormat="1" applyFont="1" applyFill="1" applyBorder="1" applyAlignment="1" applyProtection="1">
      <alignment horizontal="left" vertical="center"/>
      <protection/>
    </xf>
    <xf numFmtId="49" fontId="1" fillId="0" borderId="55" xfId="128" applyNumberFormat="1" applyFont="1" applyFill="1" applyBorder="1" applyAlignment="1" applyProtection="1">
      <alignment horizontal="left" vertical="center"/>
      <protection/>
    </xf>
    <xf numFmtId="49" fontId="58" fillId="0" borderId="100" xfId="128" applyNumberFormat="1" applyFont="1" applyFill="1" applyBorder="1" applyAlignment="1" applyProtection="1">
      <alignment horizontal="left" vertical="center"/>
      <protection/>
    </xf>
    <xf numFmtId="174" fontId="67" fillId="0" borderId="0" xfId="181" applyNumberFormat="1" applyFont="1" applyFill="1" applyBorder="1" applyAlignment="1" applyProtection="1">
      <alignment horizontal="right" vertical="center"/>
      <protection/>
    </xf>
    <xf numFmtId="206" fontId="67" fillId="0" borderId="0" xfId="181" applyNumberFormat="1" applyFont="1" applyFill="1" applyBorder="1" applyAlignment="1" applyProtection="1">
      <alignment horizontal="right" vertical="center"/>
      <protection/>
    </xf>
    <xf numFmtId="174" fontId="69" fillId="0" borderId="143" xfId="181" applyNumberFormat="1" applyFont="1" applyFill="1" applyBorder="1" applyAlignment="1" applyProtection="1">
      <alignment horizontal="right" vertical="center"/>
      <protection/>
    </xf>
    <xf numFmtId="174" fontId="69" fillId="0" borderId="144" xfId="128" applyNumberFormat="1" applyFont="1" applyFill="1" applyBorder="1" applyAlignment="1" applyProtection="1">
      <alignment horizontal="left" vertical="center"/>
      <protection/>
    </xf>
    <xf numFmtId="206" fontId="159" fillId="0" borderId="145" xfId="105" applyNumberFormat="1" applyFont="1" applyFill="1" applyBorder="1">
      <alignment/>
      <protection/>
    </xf>
    <xf numFmtId="206" fontId="159" fillId="0" borderId="146" xfId="105" applyNumberFormat="1" applyFont="1" applyFill="1" applyBorder="1">
      <alignment/>
      <protection/>
    </xf>
    <xf numFmtId="206" fontId="159" fillId="0" borderId="147" xfId="105" applyNumberFormat="1" applyFont="1" applyFill="1" applyBorder="1">
      <alignment/>
      <protection/>
    </xf>
    <xf numFmtId="174" fontId="69" fillId="0" borderId="0" xfId="181" applyNumberFormat="1" applyFont="1" applyFill="1" applyBorder="1" applyAlignment="1" applyProtection="1">
      <alignment horizontal="right" vertical="center"/>
      <protection/>
    </xf>
    <xf numFmtId="174" fontId="69" fillId="0" borderId="0" xfId="128" applyNumberFormat="1" applyFont="1" applyFill="1" applyBorder="1" applyAlignment="1" applyProtection="1">
      <alignment horizontal="left" vertical="center"/>
      <protection/>
    </xf>
    <xf numFmtId="206" fontId="69" fillId="0" borderId="0" xfId="181" applyNumberFormat="1" applyFont="1" applyFill="1" applyBorder="1" applyAlignment="1" applyProtection="1">
      <alignment horizontal="right" vertical="center"/>
      <protection/>
    </xf>
    <xf numFmtId="206" fontId="69" fillId="0" borderId="144" xfId="181" applyNumberFormat="1" applyFont="1" applyFill="1" applyBorder="1" applyAlignment="1" applyProtection="1">
      <alignment horizontal="right" vertical="center"/>
      <protection/>
    </xf>
    <xf numFmtId="177" fontId="69" fillId="30" borderId="148" xfId="181" applyNumberFormat="1" applyFont="1" applyFill="1" applyBorder="1" applyAlignment="1" applyProtection="1">
      <alignment horizontal="right" vertical="center"/>
      <protection/>
    </xf>
    <xf numFmtId="0" fontId="159" fillId="0" borderId="145" xfId="105" applyFont="1" applyFill="1" applyBorder="1">
      <alignment/>
      <protection/>
    </xf>
    <xf numFmtId="0" fontId="159" fillId="0" borderId="146" xfId="105" applyFont="1" applyFill="1" applyBorder="1">
      <alignment/>
      <protection/>
    </xf>
    <xf numFmtId="0" fontId="159" fillId="0" borderId="147" xfId="105" applyFont="1" applyFill="1" applyBorder="1">
      <alignment/>
      <protection/>
    </xf>
    <xf numFmtId="174" fontId="69" fillId="0" borderId="144" xfId="181" applyNumberFormat="1" applyFont="1" applyFill="1" applyBorder="1" applyAlignment="1" applyProtection="1">
      <alignment horizontal="right" vertical="center"/>
      <protection/>
    </xf>
    <xf numFmtId="177" fontId="69" fillId="30" borderId="49" xfId="181" applyNumberFormat="1" applyFont="1" applyFill="1" applyBorder="1" applyAlignment="1" applyProtection="1">
      <alignment horizontal="right" vertical="center"/>
      <protection/>
    </xf>
    <xf numFmtId="0" fontId="69" fillId="0" borderId="0" xfId="128" applyFont="1" applyFill="1" applyBorder="1" applyAlignment="1">
      <alignment vertical="center"/>
      <protection/>
    </xf>
    <xf numFmtId="0" fontId="159" fillId="0" borderId="0" xfId="105" applyFont="1" applyFill="1" applyBorder="1">
      <alignment/>
      <protection/>
    </xf>
    <xf numFmtId="0" fontId="159" fillId="0" borderId="0" xfId="168" applyFont="1" applyFill="1" applyBorder="1">
      <alignment/>
      <protection/>
    </xf>
    <xf numFmtId="201" fontId="69" fillId="0" borderId="40" xfId="128" applyNumberFormat="1" applyFont="1" applyFill="1" applyBorder="1" applyAlignment="1" applyProtection="1">
      <alignment horizontal="right" vertical="center"/>
      <protection/>
    </xf>
    <xf numFmtId="171" fontId="69" fillId="0" borderId="40" xfId="128" applyNumberFormat="1" applyFont="1" applyFill="1" applyBorder="1" applyAlignment="1" applyProtection="1">
      <alignment horizontal="right" vertical="center"/>
      <protection/>
    </xf>
    <xf numFmtId="216" fontId="69" fillId="0" borderId="40" xfId="128" applyNumberFormat="1" applyFont="1" applyFill="1" applyBorder="1" applyAlignment="1" applyProtection="1">
      <alignment horizontal="right" vertical="center"/>
      <protection/>
    </xf>
    <xf numFmtId="3" fontId="69" fillId="0" borderId="40" xfId="128" applyNumberFormat="1" applyFont="1" applyFill="1" applyBorder="1" applyAlignment="1">
      <alignment vertical="center"/>
      <protection/>
    </xf>
    <xf numFmtId="4" fontId="69" fillId="0" borderId="40" xfId="128" applyNumberFormat="1" applyFont="1" applyFill="1" applyBorder="1" applyAlignment="1" applyProtection="1">
      <alignment horizontal="right" vertical="center"/>
      <protection/>
    </xf>
    <xf numFmtId="2" fontId="69" fillId="0" borderId="40" xfId="128" applyNumberFormat="1" applyFont="1" applyFill="1" applyBorder="1" applyAlignment="1" applyProtection="1">
      <alignment horizontal="right" vertical="center"/>
      <protection/>
    </xf>
    <xf numFmtId="0" fontId="69" fillId="0" borderId="0" xfId="128" applyFont="1" applyFill="1" applyBorder="1" applyAlignment="1">
      <alignment horizontal="left" vertical="center" wrapText="1"/>
      <protection/>
    </xf>
    <xf numFmtId="201" fontId="69" fillId="0" borderId="50" xfId="128" applyNumberFormat="1" applyFont="1" applyFill="1" applyBorder="1" applyAlignment="1" applyProtection="1">
      <alignment horizontal="right" vertical="center"/>
      <protection/>
    </xf>
    <xf numFmtId="201" fontId="69" fillId="0" borderId="0" xfId="128" applyNumberFormat="1" applyFont="1" applyFill="1" applyBorder="1" applyAlignment="1" applyProtection="1">
      <alignment horizontal="right" vertical="center"/>
      <protection/>
    </xf>
    <xf numFmtId="171" fontId="69" fillId="0" borderId="0" xfId="128" applyNumberFormat="1" applyFont="1" applyFill="1" applyBorder="1" applyAlignment="1" applyProtection="1">
      <alignment horizontal="right" vertical="center"/>
      <protection/>
    </xf>
    <xf numFmtId="174" fontId="20" fillId="0" borderId="0" xfId="182" applyNumberFormat="1" applyFont="1" applyFill="1" applyBorder="1" applyAlignment="1" applyProtection="1">
      <alignment horizontal="right" vertical="center"/>
      <protection/>
    </xf>
    <xf numFmtId="3" fontId="69" fillId="0" borderId="0" xfId="128" applyNumberFormat="1" applyFont="1" applyFill="1" applyBorder="1" applyAlignment="1">
      <alignment vertical="center"/>
      <protection/>
    </xf>
    <xf numFmtId="174" fontId="69" fillId="0" borderId="0" xfId="128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Border="1" applyAlignment="1">
      <alignment/>
    </xf>
    <xf numFmtId="0" fontId="159" fillId="0" borderId="0" xfId="105" applyFont="1">
      <alignment/>
      <protection/>
    </xf>
    <xf numFmtId="3" fontId="20" fillId="0" borderId="0" xfId="155" applyNumberFormat="1" applyFont="1" applyFill="1" applyBorder="1">
      <alignment/>
      <protection/>
    </xf>
    <xf numFmtId="171" fontId="69" fillId="0" borderId="0" xfId="128" applyNumberFormat="1" applyFont="1" applyFill="1" applyBorder="1" applyAlignment="1">
      <alignment vertical="center"/>
      <protection/>
    </xf>
    <xf numFmtId="216" fontId="69" fillId="0" borderId="0" xfId="128" applyNumberFormat="1" applyFont="1" applyFill="1" applyBorder="1" applyAlignment="1" applyProtection="1">
      <alignment horizontal="right" vertical="center"/>
      <protection/>
    </xf>
    <xf numFmtId="0" fontId="159" fillId="0" borderId="0" xfId="105" applyFont="1" applyBorder="1">
      <alignment/>
      <protection/>
    </xf>
    <xf numFmtId="3" fontId="20" fillId="0" borderId="0" xfId="157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174" fontId="58" fillId="25" borderId="85" xfId="181" applyNumberFormat="1" applyFont="1" applyFill="1" applyBorder="1" applyAlignment="1" applyProtection="1">
      <alignment horizontal="right" vertical="center"/>
      <protection/>
    </xf>
    <xf numFmtId="177" fontId="58" fillId="24" borderId="74" xfId="181" applyNumberFormat="1" applyFont="1" applyFill="1" applyBorder="1" applyAlignment="1">
      <alignment horizontal="right" vertical="center"/>
    </xf>
    <xf numFmtId="3" fontId="19" fillId="76" borderId="149" xfId="182" applyNumberFormat="1" applyFont="1" applyFill="1" applyBorder="1" applyAlignment="1" applyProtection="1">
      <alignment horizontal="right" vertical="center"/>
      <protection/>
    </xf>
    <xf numFmtId="3" fontId="21" fillId="76" borderId="143" xfId="182" applyNumberFormat="1" applyFont="1" applyFill="1" applyBorder="1" applyAlignment="1" applyProtection="1">
      <alignment horizontal="right" vertical="center"/>
      <protection/>
    </xf>
    <xf numFmtId="3" fontId="21" fillId="76" borderId="40" xfId="182" applyNumberFormat="1" applyFont="1" applyFill="1" applyBorder="1" applyAlignment="1" applyProtection="1">
      <alignment horizontal="right" vertical="center"/>
      <protection/>
    </xf>
    <xf numFmtId="49" fontId="1" fillId="0" borderId="40" xfId="128" applyNumberFormat="1" applyFont="1" applyFill="1" applyBorder="1" applyAlignment="1" applyProtection="1">
      <alignment horizontal="center" vertical="center"/>
      <protection/>
    </xf>
    <xf numFmtId="49" fontId="58" fillId="0" borderId="40" xfId="128" applyNumberFormat="1" applyFont="1" applyFill="1" applyBorder="1" applyAlignment="1" applyProtection="1">
      <alignment horizontal="left" vertical="center"/>
      <protection/>
    </xf>
    <xf numFmtId="174" fontId="54" fillId="0" borderId="143" xfId="181" applyNumberFormat="1" applyFont="1" applyFill="1" applyBorder="1" applyAlignment="1" applyProtection="1">
      <alignment horizontal="center" vertical="center" wrapText="1"/>
      <protection/>
    </xf>
    <xf numFmtId="174" fontId="56" fillId="0" borderId="75" xfId="181" applyNumberFormat="1" applyFont="1" applyFill="1" applyBorder="1" applyAlignment="1" applyProtection="1">
      <alignment horizontal="right" vertical="center"/>
      <protection/>
    </xf>
    <xf numFmtId="49" fontId="0" fillId="16" borderId="150" xfId="0" applyNumberFormat="1" applyFont="1" applyFill="1" applyBorder="1" applyAlignment="1">
      <alignment horizontal="right"/>
    </xf>
    <xf numFmtId="0" fontId="0" fillId="16" borderId="151" xfId="0" applyFont="1" applyFill="1" applyBorder="1" applyAlignment="1">
      <alignment/>
    </xf>
    <xf numFmtId="166" fontId="0" fillId="16" borderId="152" xfId="0" applyNumberFormat="1" applyFont="1" applyFill="1" applyBorder="1" applyAlignment="1">
      <alignment/>
    </xf>
    <xf numFmtId="166" fontId="0" fillId="92" borderId="153" xfId="0" applyNumberFormat="1" applyFont="1" applyFill="1" applyBorder="1" applyAlignment="1">
      <alignment/>
    </xf>
    <xf numFmtId="49" fontId="0" fillId="16" borderId="154" xfId="0" applyNumberFormat="1" applyFont="1" applyFill="1" applyBorder="1" applyAlignment="1">
      <alignment horizontal="right"/>
    </xf>
    <xf numFmtId="166" fontId="0" fillId="92" borderId="155" xfId="0" applyNumberFormat="1" applyFont="1" applyFill="1" applyBorder="1" applyAlignment="1">
      <alignment/>
    </xf>
    <xf numFmtId="49" fontId="25" fillId="16" borderId="144" xfId="0" applyNumberFormat="1" applyFont="1" applyFill="1" applyBorder="1" applyAlignment="1">
      <alignment horizontal="left"/>
    </xf>
    <xf numFmtId="166" fontId="25" fillId="16" borderId="155" xfId="0" applyNumberFormat="1" applyFont="1" applyFill="1" applyBorder="1" applyAlignment="1">
      <alignment/>
    </xf>
    <xf numFmtId="166" fontId="0" fillId="92" borderId="155" xfId="0" applyNumberFormat="1" applyFill="1" applyBorder="1" applyAlignment="1">
      <alignment/>
    </xf>
    <xf numFmtId="49" fontId="27" fillId="0" borderId="156" xfId="0" applyNumberFormat="1" applyFont="1" applyBorder="1" applyAlignment="1">
      <alignment horizontal="left"/>
    </xf>
    <xf numFmtId="49" fontId="0" fillId="0" borderId="157" xfId="0" applyNumberFormat="1" applyFont="1" applyBorder="1" applyAlignment="1">
      <alignment horizontal="left"/>
    </xf>
    <xf numFmtId="166" fontId="27" fillId="0" borderId="158" xfId="0" applyNumberFormat="1" applyFont="1" applyFill="1" applyBorder="1" applyAlignment="1">
      <alignment/>
    </xf>
    <xf numFmtId="166" fontId="27" fillId="81" borderId="159" xfId="0" applyNumberFormat="1" applyFont="1" applyFill="1" applyBorder="1" applyAlignment="1">
      <alignment/>
    </xf>
    <xf numFmtId="0" fontId="128" fillId="20" borderId="0" xfId="124" applyFont="1" applyFill="1">
      <alignment/>
      <protection/>
    </xf>
    <xf numFmtId="166" fontId="128" fillId="20" borderId="0" xfId="124" applyNumberFormat="1" applyFont="1" applyFill="1" applyBorder="1" applyAlignment="1">
      <alignment vertical="top" wrapText="1"/>
      <protection/>
    </xf>
    <xf numFmtId="166" fontId="128" fillId="20" borderId="0" xfId="124" applyNumberFormat="1" applyFont="1" applyFill="1">
      <alignment/>
      <protection/>
    </xf>
    <xf numFmtId="0" fontId="128" fillId="21" borderId="0" xfId="124" applyFont="1" applyFill="1">
      <alignment/>
      <protection/>
    </xf>
    <xf numFmtId="166" fontId="128" fillId="21" borderId="0" xfId="124" applyNumberFormat="1" applyFont="1" applyFill="1" applyBorder="1" applyAlignment="1">
      <alignment vertical="top" wrapText="1"/>
      <protection/>
    </xf>
    <xf numFmtId="166" fontId="128" fillId="21" borderId="0" xfId="124" applyNumberFormat="1" applyFont="1" applyFill="1">
      <alignment/>
      <protection/>
    </xf>
    <xf numFmtId="0" fontId="128" fillId="0" borderId="0" xfId="124" applyFont="1">
      <alignment/>
      <protection/>
    </xf>
    <xf numFmtId="0" fontId="128" fillId="25" borderId="0" xfId="124" applyFont="1" applyFill="1">
      <alignment/>
      <protection/>
    </xf>
    <xf numFmtId="166" fontId="128" fillId="25" borderId="0" xfId="124" applyNumberFormat="1" applyFont="1" applyFill="1" applyBorder="1" applyAlignment="1">
      <alignment vertical="top" wrapText="1"/>
      <protection/>
    </xf>
    <xf numFmtId="166" fontId="128" fillId="25" borderId="0" xfId="124" applyNumberFormat="1" applyFont="1" applyFill="1">
      <alignment/>
      <protection/>
    </xf>
    <xf numFmtId="0" fontId="128" fillId="30" borderId="0" xfId="124" applyFont="1" applyFill="1">
      <alignment/>
      <protection/>
    </xf>
    <xf numFmtId="166" fontId="128" fillId="30" borderId="0" xfId="124" applyNumberFormat="1" applyFont="1" applyFill="1" applyBorder="1" applyAlignment="1">
      <alignment vertical="top" wrapText="1"/>
      <protection/>
    </xf>
    <xf numFmtId="166" fontId="128" fillId="30" borderId="0" xfId="124" applyNumberFormat="1" applyFont="1" applyFill="1">
      <alignment/>
      <protection/>
    </xf>
    <xf numFmtId="166" fontId="103" fillId="20" borderId="0" xfId="124" applyNumberFormat="1" applyFont="1" applyFill="1" applyBorder="1" applyAlignment="1">
      <alignment vertical="top" wrapText="1"/>
      <protection/>
    </xf>
    <xf numFmtId="0" fontId="128" fillId="0" borderId="0" xfId="124" applyFont="1" applyFill="1">
      <alignment/>
      <protection/>
    </xf>
    <xf numFmtId="166" fontId="128" fillId="0" borderId="0" xfId="124" applyNumberFormat="1" applyFont="1" applyFill="1" applyBorder="1" applyAlignment="1">
      <alignment vertical="top" wrapText="1"/>
      <protection/>
    </xf>
    <xf numFmtId="0" fontId="160" fillId="0" borderId="0" xfId="124" applyFont="1" applyAlignment="1">
      <alignment horizontal="center"/>
      <protection/>
    </xf>
    <xf numFmtId="0" fontId="161" fillId="0" borderId="0" xfId="0" applyFont="1" applyBorder="1" applyAlignment="1">
      <alignment/>
    </xf>
    <xf numFmtId="49" fontId="161" fillId="0" borderId="0" xfId="0" applyNumberFormat="1" applyFont="1" applyFill="1" applyBorder="1" applyAlignment="1">
      <alignment horizontal="right"/>
    </xf>
    <xf numFmtId="0" fontId="161" fillId="0" borderId="0" xfId="0" applyFont="1" applyAlignment="1">
      <alignment/>
    </xf>
    <xf numFmtId="1" fontId="161" fillId="0" borderId="0" xfId="0" applyNumberFormat="1" applyFont="1" applyAlignment="1">
      <alignment/>
    </xf>
    <xf numFmtId="3" fontId="161" fillId="0" borderId="0" xfId="0" applyNumberFormat="1" applyFont="1" applyAlignment="1">
      <alignment/>
    </xf>
    <xf numFmtId="3" fontId="27" fillId="19" borderId="21" xfId="0" applyNumberFormat="1" applyFont="1" applyFill="1" applyBorder="1" applyAlignment="1">
      <alignment horizontal="center" vertical="center" wrapText="1"/>
    </xf>
    <xf numFmtId="166" fontId="0" fillId="72" borderId="32" xfId="0" applyNumberFormat="1" applyFont="1" applyFill="1" applyBorder="1" applyAlignment="1">
      <alignment/>
    </xf>
    <xf numFmtId="166" fontId="25" fillId="93" borderId="54" xfId="0" applyNumberFormat="1" applyFont="1" applyFill="1" applyBorder="1" applyAlignment="1">
      <alignment/>
    </xf>
    <xf numFmtId="49" fontId="157" fillId="94" borderId="20" xfId="124" applyNumberFormat="1" applyFont="1" applyFill="1" applyBorder="1" applyAlignment="1">
      <alignment horizontal="right"/>
      <protection/>
    </xf>
    <xf numFmtId="0" fontId="128" fillId="94" borderId="0" xfId="124" applyFont="1" applyFill="1">
      <alignment/>
      <protection/>
    </xf>
    <xf numFmtId="166" fontId="128" fillId="94" borderId="0" xfId="124" applyNumberFormat="1" applyFont="1" applyFill="1" applyBorder="1" applyAlignment="1">
      <alignment vertical="top" wrapText="1"/>
      <protection/>
    </xf>
    <xf numFmtId="166" fontId="128" fillId="94" borderId="0" xfId="124" applyNumberFormat="1" applyFont="1" applyFill="1">
      <alignment/>
      <protection/>
    </xf>
    <xf numFmtId="166" fontId="157" fillId="24" borderId="40" xfId="124" applyNumberFormat="1" applyFont="1" applyFill="1" applyBorder="1">
      <alignment/>
      <protection/>
    </xf>
    <xf numFmtId="49" fontId="157" fillId="24" borderId="20" xfId="124" applyNumberFormat="1" applyFont="1" applyFill="1" applyBorder="1" applyAlignment="1">
      <alignment horizontal="right"/>
      <protection/>
    </xf>
    <xf numFmtId="0" fontId="128" fillId="24" borderId="0" xfId="124" applyFont="1" applyFill="1">
      <alignment/>
      <protection/>
    </xf>
    <xf numFmtId="166" fontId="128" fillId="24" borderId="0" xfId="124" applyNumberFormat="1" applyFont="1" applyFill="1" applyBorder="1" applyAlignment="1">
      <alignment vertical="top" wrapText="1"/>
      <protection/>
    </xf>
    <xf numFmtId="166" fontId="128" fillId="24" borderId="0" xfId="124" applyNumberFormat="1" applyFont="1" applyFill="1">
      <alignment/>
      <protection/>
    </xf>
    <xf numFmtId="166" fontId="157" fillId="94" borderId="40" xfId="124" applyNumberFormat="1" applyFont="1" applyFill="1" applyBorder="1">
      <alignment/>
      <protection/>
    </xf>
    <xf numFmtId="0" fontId="128" fillId="95" borderId="0" xfId="124" applyFont="1" applyFill="1">
      <alignment/>
      <protection/>
    </xf>
    <xf numFmtId="166" fontId="128" fillId="95" borderId="0" xfId="124" applyNumberFormat="1" applyFont="1" applyFill="1" applyBorder="1" applyAlignment="1">
      <alignment vertical="top" wrapText="1"/>
      <protection/>
    </xf>
    <xf numFmtId="166" fontId="128" fillId="95" borderId="0" xfId="124" applyNumberFormat="1" applyFont="1" applyFill="1">
      <alignment/>
      <protection/>
    </xf>
    <xf numFmtId="49" fontId="157" fillId="95" borderId="23" xfId="124" applyNumberFormat="1" applyFont="1" applyFill="1" applyBorder="1" applyAlignment="1">
      <alignment horizontal="left"/>
      <protection/>
    </xf>
    <xf numFmtId="166" fontId="157" fillId="95" borderId="40" xfId="124" applyNumberFormat="1" applyFont="1" applyFill="1" applyBorder="1">
      <alignment/>
      <protection/>
    </xf>
    <xf numFmtId="49" fontId="157" fillId="95" borderId="20" xfId="124" applyNumberFormat="1" applyFont="1" applyFill="1" applyBorder="1" applyAlignment="1">
      <alignment horizontal="right"/>
      <protection/>
    </xf>
    <xf numFmtId="166" fontId="162" fillId="0" borderId="0" xfId="124" applyNumberFormat="1" applyFont="1" applyFill="1">
      <alignment/>
      <protection/>
    </xf>
    <xf numFmtId="49" fontId="19" fillId="12" borderId="20" xfId="124" applyNumberFormat="1" applyFont="1" applyFill="1" applyBorder="1" applyAlignment="1">
      <alignment horizontal="left"/>
      <protection/>
    </xf>
    <xf numFmtId="49" fontId="157" fillId="0" borderId="40" xfId="124" applyNumberFormat="1" applyFont="1" applyBorder="1" applyAlignment="1">
      <alignment horizontal="left"/>
      <protection/>
    </xf>
    <xf numFmtId="49" fontId="157" fillId="21" borderId="40" xfId="124" applyNumberFormat="1" applyFont="1" applyFill="1" applyBorder="1" applyAlignment="1">
      <alignment horizontal="left"/>
      <protection/>
    </xf>
    <xf numFmtId="49" fontId="157" fillId="94" borderId="40" xfId="124" applyNumberFormat="1" applyFont="1" applyFill="1" applyBorder="1" applyAlignment="1">
      <alignment horizontal="left"/>
      <protection/>
    </xf>
    <xf numFmtId="49" fontId="157" fillId="24" borderId="40" xfId="124" applyNumberFormat="1" applyFont="1" applyFill="1" applyBorder="1" applyAlignment="1">
      <alignment horizontal="left"/>
      <protection/>
    </xf>
    <xf numFmtId="49" fontId="157" fillId="95" borderId="40" xfId="124" applyNumberFormat="1" applyFont="1" applyFill="1" applyBorder="1" applyAlignment="1">
      <alignment horizontal="left"/>
      <protection/>
    </xf>
    <xf numFmtId="49" fontId="157" fillId="30" borderId="40" xfId="124" applyNumberFormat="1" applyFont="1" applyFill="1" applyBorder="1" applyAlignment="1">
      <alignment horizontal="left"/>
      <protection/>
    </xf>
    <xf numFmtId="49" fontId="157" fillId="25" borderId="40" xfId="124" applyNumberFormat="1" applyFont="1" applyFill="1" applyBorder="1" applyAlignment="1">
      <alignment horizontal="left"/>
      <protection/>
    </xf>
    <xf numFmtId="49" fontId="157" fillId="20" borderId="40" xfId="124" applyNumberFormat="1" applyFont="1" applyFill="1" applyBorder="1" applyAlignment="1">
      <alignment horizontal="left"/>
      <protection/>
    </xf>
    <xf numFmtId="0" fontId="61" fillId="12" borderId="40" xfId="124" applyFont="1" applyFill="1" applyBorder="1">
      <alignment/>
      <protection/>
    </xf>
    <xf numFmtId="3" fontId="157" fillId="94" borderId="40" xfId="124" applyNumberFormat="1" applyFont="1" applyFill="1" applyBorder="1">
      <alignment/>
      <protection/>
    </xf>
    <xf numFmtId="3" fontId="163" fillId="0" borderId="0" xfId="124" applyNumberFormat="1" applyFont="1">
      <alignment/>
      <protection/>
    </xf>
    <xf numFmtId="49" fontId="157" fillId="96" borderId="23" xfId="124" applyNumberFormat="1" applyFont="1" applyFill="1" applyBorder="1" applyAlignment="1">
      <alignment horizontal="left"/>
      <protection/>
    </xf>
    <xf numFmtId="49" fontId="157" fillId="96" borderId="20" xfId="124" applyNumberFormat="1" applyFont="1" applyFill="1" applyBorder="1" applyAlignment="1">
      <alignment horizontal="right"/>
      <protection/>
    </xf>
    <xf numFmtId="49" fontId="157" fillId="97" borderId="23" xfId="124" applyNumberFormat="1" applyFont="1" applyFill="1" applyBorder="1" applyAlignment="1">
      <alignment horizontal="left"/>
      <protection/>
    </xf>
    <xf numFmtId="49" fontId="157" fillId="97" borderId="20" xfId="124" applyNumberFormat="1" applyFont="1" applyFill="1" applyBorder="1" applyAlignment="1">
      <alignment horizontal="right"/>
      <protection/>
    </xf>
    <xf numFmtId="0" fontId="128" fillId="97" borderId="0" xfId="124" applyFont="1" applyFill="1">
      <alignment/>
      <protection/>
    </xf>
    <xf numFmtId="0" fontId="128" fillId="96" borderId="0" xfId="124" applyFont="1" applyFill="1">
      <alignment/>
      <protection/>
    </xf>
    <xf numFmtId="9" fontId="0" fillId="78" borderId="40" xfId="182" applyFont="1" applyFill="1" applyBorder="1" applyAlignment="1">
      <alignment wrapText="1"/>
    </xf>
    <xf numFmtId="49" fontId="20" fillId="19" borderId="40" xfId="0" applyNumberFormat="1" applyFont="1" applyFill="1" applyBorder="1" applyAlignment="1">
      <alignment horizontal="center" vertical="center" wrapText="1"/>
    </xf>
    <xf numFmtId="0" fontId="21" fillId="44" borderId="42" xfId="0" applyFont="1" applyFill="1" applyBorder="1" applyAlignment="1">
      <alignment wrapText="1"/>
    </xf>
    <xf numFmtId="49" fontId="20" fillId="44" borderId="40" xfId="0" applyNumberFormat="1" applyFont="1" applyFill="1" applyBorder="1" applyAlignment="1">
      <alignment horizontal="center" wrapText="1"/>
    </xf>
    <xf numFmtId="166" fontId="23" fillId="44" borderId="40" xfId="0" applyNumberFormat="1" applyFont="1" applyFill="1" applyBorder="1" applyAlignment="1">
      <alignment wrapText="1"/>
    </xf>
    <xf numFmtId="168" fontId="19" fillId="44" borderId="40" xfId="0" applyNumberFormat="1" applyFont="1" applyFill="1" applyBorder="1" applyAlignment="1">
      <alignment wrapText="1"/>
    </xf>
    <xf numFmtId="166" fontId="19" fillId="44" borderId="43" xfId="0" applyNumberFormat="1" applyFont="1" applyFill="1" applyBorder="1" applyAlignment="1">
      <alignment wrapText="1"/>
    </xf>
    <xf numFmtId="0" fontId="21" fillId="0" borderId="160" xfId="0" applyFont="1" applyFill="1" applyBorder="1" applyAlignment="1">
      <alignment wrapText="1"/>
    </xf>
    <xf numFmtId="49" fontId="20" fillId="0" borderId="161" xfId="0" applyNumberFormat="1" applyFont="1" applyFill="1" applyBorder="1" applyAlignment="1">
      <alignment horizontal="center" wrapText="1"/>
    </xf>
    <xf numFmtId="166" fontId="23" fillId="0" borderId="161" xfId="0" applyNumberFormat="1" applyFont="1" applyFill="1" applyBorder="1" applyAlignment="1">
      <alignment wrapText="1"/>
    </xf>
    <xf numFmtId="168" fontId="19" fillId="0" borderId="161" xfId="0" applyNumberFormat="1" applyFont="1" applyFill="1" applyBorder="1" applyAlignment="1">
      <alignment wrapText="1"/>
    </xf>
    <xf numFmtId="166" fontId="19" fillId="0" borderId="162" xfId="0" applyNumberFormat="1" applyFont="1" applyFill="1" applyBorder="1" applyAlignment="1">
      <alignment wrapText="1"/>
    </xf>
    <xf numFmtId="0" fontId="21" fillId="0" borderId="163" xfId="0" applyFont="1" applyFill="1" applyBorder="1" applyAlignment="1">
      <alignment wrapText="1"/>
    </xf>
    <xf numFmtId="49" fontId="20" fillId="0" borderId="143" xfId="0" applyNumberFormat="1" applyFont="1" applyFill="1" applyBorder="1" applyAlignment="1">
      <alignment horizontal="center" wrapText="1"/>
    </xf>
    <xf numFmtId="166" fontId="150" fillId="0" borderId="143" xfId="0" applyNumberFormat="1" applyFont="1" applyFill="1" applyBorder="1" applyAlignment="1">
      <alignment wrapText="1"/>
    </xf>
    <xf numFmtId="166" fontId="22" fillId="0" borderId="143" xfId="0" applyNumberFormat="1" applyFont="1" applyFill="1" applyBorder="1" applyAlignment="1">
      <alignment wrapText="1"/>
    </xf>
    <xf numFmtId="168" fontId="21" fillId="0" borderId="143" xfId="0" applyNumberFormat="1" applyFont="1" applyFill="1" applyBorder="1" applyAlignment="1">
      <alignment wrapText="1"/>
    </xf>
    <xf numFmtId="166" fontId="21" fillId="0" borderId="164" xfId="0" applyNumberFormat="1" applyFont="1" applyFill="1" applyBorder="1" applyAlignment="1">
      <alignment wrapText="1"/>
    </xf>
    <xf numFmtId="0" fontId="27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/>
    </xf>
    <xf numFmtId="9" fontId="0" fillId="0" borderId="40" xfId="182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182" applyFill="1" applyAlignment="1">
      <alignment/>
    </xf>
    <xf numFmtId="181" fontId="0" fillId="0" borderId="19" xfId="0" applyNumberFormat="1" applyFont="1" applyFill="1" applyBorder="1" applyAlignment="1">
      <alignment/>
    </xf>
    <xf numFmtId="0" fontId="21" fillId="0" borderId="4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49" fontId="27" fillId="13" borderId="42" xfId="0" applyNumberFormat="1" applyFont="1" applyFill="1" applyBorder="1" applyAlignment="1">
      <alignment horizontal="right"/>
    </xf>
    <xf numFmtId="49" fontId="27" fillId="13" borderId="40" xfId="0" applyNumberFormat="1" applyFont="1" applyFill="1" applyBorder="1" applyAlignment="1">
      <alignment horizontal="left"/>
    </xf>
    <xf numFmtId="3" fontId="27" fillId="13" borderId="40" xfId="0" applyNumberFormat="1" applyFont="1" applyFill="1" applyBorder="1" applyAlignment="1">
      <alignment/>
    </xf>
    <xf numFmtId="10" fontId="27" fillId="13" borderId="40" xfId="182" applyNumberFormat="1" applyFont="1" applyFill="1" applyBorder="1" applyAlignment="1">
      <alignment/>
    </xf>
    <xf numFmtId="3" fontId="27" fillId="13" borderId="43" xfId="0" applyNumberFormat="1" applyFont="1" applyFill="1" applyBorder="1" applyAlignment="1">
      <alignment/>
    </xf>
    <xf numFmtId="49" fontId="27" fillId="13" borderId="160" xfId="0" applyNumberFormat="1" applyFont="1" applyFill="1" applyBorder="1" applyAlignment="1">
      <alignment horizontal="right"/>
    </xf>
    <xf numFmtId="49" fontId="27" fillId="13" borderId="161" xfId="0" applyNumberFormat="1" applyFont="1" applyFill="1" applyBorder="1" applyAlignment="1">
      <alignment horizontal="left"/>
    </xf>
    <xf numFmtId="3" fontId="27" fillId="13" borderId="161" xfId="0" applyNumberFormat="1" applyFont="1" applyFill="1" applyBorder="1" applyAlignment="1">
      <alignment/>
    </xf>
    <xf numFmtId="10" fontId="27" fillId="13" borderId="161" xfId="182" applyNumberFormat="1" applyFont="1" applyFill="1" applyBorder="1" applyAlignment="1">
      <alignment/>
    </xf>
    <xf numFmtId="3" fontId="27" fillId="13" borderId="162" xfId="0" applyNumberFormat="1" applyFont="1" applyFill="1" applyBorder="1" applyAlignment="1">
      <alignment/>
    </xf>
    <xf numFmtId="0" fontId="27" fillId="13" borderId="165" xfId="0" applyFont="1" applyFill="1" applyBorder="1" applyAlignment="1">
      <alignment/>
    </xf>
    <xf numFmtId="0" fontId="27" fillId="13" borderId="166" xfId="0" applyFont="1" applyFill="1" applyBorder="1" applyAlignment="1">
      <alignment/>
    </xf>
    <xf numFmtId="49" fontId="27" fillId="13" borderId="166" xfId="0" applyNumberFormat="1" applyFont="1" applyFill="1" applyBorder="1" applyAlignment="1">
      <alignment horizontal="left"/>
    </xf>
    <xf numFmtId="3" fontId="27" fillId="13" borderId="166" xfId="0" applyNumberFormat="1" applyFont="1" applyFill="1" applyBorder="1" applyAlignment="1">
      <alignment/>
    </xf>
    <xf numFmtId="9" fontId="0" fillId="13" borderId="166" xfId="182" applyFill="1" applyBorder="1" applyAlignment="1">
      <alignment/>
    </xf>
    <xf numFmtId="3" fontId="27" fillId="13" borderId="81" xfId="0" applyNumberFormat="1" applyFont="1" applyFill="1" applyBorder="1" applyAlignment="1">
      <alignment/>
    </xf>
    <xf numFmtId="201" fontId="159" fillId="0" borderId="0" xfId="105" applyNumberFormat="1" applyFont="1">
      <alignment/>
      <protection/>
    </xf>
    <xf numFmtId="0" fontId="115" fillId="0" borderId="40" xfId="124" applyBorder="1" applyAlignment="1">
      <alignment horizontal="center"/>
      <protection/>
    </xf>
    <xf numFmtId="3" fontId="164" fillId="0" borderId="0" xfId="128" applyNumberFormat="1" applyFont="1" applyFill="1" applyBorder="1" applyAlignment="1">
      <alignment vertical="center"/>
      <protection/>
    </xf>
    <xf numFmtId="0" fontId="0" fillId="65" borderId="48" xfId="0" applyFill="1" applyBorder="1" applyAlignment="1">
      <alignment horizontal="center" wrapText="1"/>
    </xf>
    <xf numFmtId="0" fontId="117" fillId="63" borderId="0" xfId="97" applyFont="1" applyFill="1" applyAlignment="1">
      <alignment horizontal="center" wrapText="1"/>
      <protection/>
    </xf>
    <xf numFmtId="0" fontId="117" fillId="63" borderId="0" xfId="0" applyFont="1" applyFill="1" applyAlignment="1">
      <alignment horizontal="center" wrapText="1"/>
    </xf>
    <xf numFmtId="166" fontId="1" fillId="0" borderId="0" xfId="124" applyNumberFormat="1" applyFont="1" applyFill="1" applyBorder="1" applyAlignment="1">
      <alignment/>
      <protection/>
    </xf>
    <xf numFmtId="166" fontId="58" fillId="0" borderId="20" xfId="124" applyNumberFormat="1" applyFont="1" applyFill="1" applyBorder="1">
      <alignment/>
      <protection/>
    </xf>
    <xf numFmtId="0" fontId="115" fillId="0" borderId="0" xfId="124" applyBorder="1" applyAlignment="1">
      <alignment horizontal="center"/>
      <protection/>
    </xf>
    <xf numFmtId="0" fontId="0" fillId="0" borderId="167" xfId="0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0" fontId="0" fillId="0" borderId="168" xfId="182" applyNumberFormat="1" applyBorder="1" applyAlignment="1">
      <alignment/>
    </xf>
    <xf numFmtId="166" fontId="0" fillId="0" borderId="106" xfId="0" applyNumberFormat="1" applyFill="1" applyBorder="1" applyAlignment="1">
      <alignment/>
    </xf>
    <xf numFmtId="166" fontId="0" fillId="0" borderId="56" xfId="0" applyNumberFormat="1" applyFill="1" applyBorder="1" applyAlignment="1">
      <alignment/>
    </xf>
    <xf numFmtId="49" fontId="26" fillId="0" borderId="40" xfId="0" applyNumberFormat="1" applyFont="1" applyBorder="1" applyAlignment="1">
      <alignment horizontal="center" wrapText="1"/>
    </xf>
    <xf numFmtId="10" fontId="0" fillId="82" borderId="40" xfId="0" applyNumberFormat="1" applyFont="1" applyFill="1" applyBorder="1" applyAlignment="1">
      <alignment/>
    </xf>
    <xf numFmtId="166" fontId="141" fillId="0" borderId="0" xfId="0" applyNumberFormat="1" applyFont="1" applyAlignment="1">
      <alignment/>
    </xf>
    <xf numFmtId="166" fontId="0" fillId="0" borderId="40" xfId="0" applyNumberFormat="1" applyFont="1" applyFill="1" applyBorder="1" applyAlignment="1">
      <alignment horizontal="right"/>
    </xf>
    <xf numFmtId="166" fontId="27" fillId="0" borderId="40" xfId="0" applyNumberFormat="1" applyFont="1" applyFill="1" applyBorder="1" applyAlignment="1">
      <alignment/>
    </xf>
    <xf numFmtId="166" fontId="25" fillId="73" borderId="169" xfId="0" applyNumberFormat="1" applyFont="1" applyFill="1" applyBorder="1" applyAlignment="1">
      <alignment/>
    </xf>
    <xf numFmtId="166" fontId="25" fillId="73" borderId="136" xfId="0" applyNumberFormat="1" applyFont="1" applyFill="1" applyBorder="1" applyAlignment="1">
      <alignment/>
    </xf>
    <xf numFmtId="166" fontId="25" fillId="73" borderId="170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166" fontId="158" fillId="0" borderId="0" xfId="124" applyNumberFormat="1" applyFont="1" applyFill="1">
      <alignment/>
      <protection/>
    </xf>
    <xf numFmtId="0" fontId="165" fillId="0" borderId="0" xfId="124" applyFont="1" applyAlignment="1">
      <alignment horizontal="center"/>
      <protection/>
    </xf>
    <xf numFmtId="168" fontId="166" fillId="0" borderId="0" xfId="0" applyNumberFormat="1" applyFont="1" applyAlignment="1">
      <alignment/>
    </xf>
    <xf numFmtId="0" fontId="117" fillId="90" borderId="47" xfId="0" applyFont="1" applyFill="1" applyBorder="1" applyAlignment="1">
      <alignment horizontal="left" wrapText="1"/>
    </xf>
    <xf numFmtId="0" fontId="0" fillId="90" borderId="0" xfId="0" applyFill="1" applyAlignment="1">
      <alignment horizontal="left" wrapText="1"/>
    </xf>
    <xf numFmtId="0" fontId="0" fillId="90" borderId="0" xfId="0" applyFill="1" applyAlignment="1">
      <alignment horizontal="center" wrapText="1"/>
    </xf>
    <xf numFmtId="0" fontId="0" fillId="90" borderId="48" xfId="0" applyFill="1" applyBorder="1" applyAlignment="1">
      <alignment horizontal="center" wrapText="1"/>
    </xf>
    <xf numFmtId="0" fontId="62" fillId="0" borderId="51" xfId="0" applyFont="1" applyBorder="1" applyAlignment="1">
      <alignment horizontal="center"/>
    </xf>
    <xf numFmtId="10" fontId="0" fillId="0" borderId="19" xfId="0" applyNumberFormat="1" applyFont="1" applyFill="1" applyBorder="1" applyAlignment="1">
      <alignment/>
    </xf>
    <xf numFmtId="167" fontId="142" fillId="0" borderId="0" xfId="0" applyNumberFormat="1" applyFont="1" applyAlignment="1">
      <alignment/>
    </xf>
    <xf numFmtId="168" fontId="142" fillId="0" borderId="0" xfId="0" applyNumberFormat="1" applyFont="1" applyAlignment="1">
      <alignment/>
    </xf>
    <xf numFmtId="166" fontId="22" fillId="98" borderId="40" xfId="0" applyNumberFormat="1" applyFont="1" applyFill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10" fontId="27" fillId="79" borderId="40" xfId="182" applyNumberFormat="1" applyFont="1" applyFill="1" applyBorder="1" applyAlignment="1">
      <alignment/>
    </xf>
    <xf numFmtId="3" fontId="27" fillId="19" borderId="40" xfId="0" applyNumberFormat="1" applyFont="1" applyFill="1" applyBorder="1" applyAlignment="1">
      <alignment/>
    </xf>
    <xf numFmtId="3" fontId="0" fillId="19" borderId="49" xfId="0" applyNumberFormat="1" applyFill="1" applyBorder="1" applyAlignment="1">
      <alignment/>
    </xf>
    <xf numFmtId="3" fontId="27" fillId="19" borderId="49" xfId="0" applyNumberFormat="1" applyFont="1" applyFill="1" applyBorder="1" applyAlignment="1">
      <alignment/>
    </xf>
    <xf numFmtId="3" fontId="0" fillId="19" borderId="171" xfId="0" applyNumberFormat="1" applyFill="1" applyBorder="1" applyAlignment="1">
      <alignment/>
    </xf>
    <xf numFmtId="3" fontId="27" fillId="19" borderId="17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2" fontId="101" fillId="0" borderId="40" xfId="124" applyNumberFormat="1" applyFont="1" applyFill="1" applyBorder="1" applyAlignment="1">
      <alignment horizontal="right"/>
      <protection/>
    </xf>
    <xf numFmtId="0" fontId="117" fillId="0" borderId="172" xfId="124" applyFont="1" applyFill="1" applyBorder="1" applyAlignment="1">
      <alignment horizontal="center"/>
      <protection/>
    </xf>
    <xf numFmtId="0" fontId="117" fillId="0" borderId="173" xfId="124" applyFont="1" applyFill="1" applyBorder="1" applyAlignment="1">
      <alignment horizontal="center"/>
      <protection/>
    </xf>
    <xf numFmtId="3" fontId="101" fillId="0" borderId="49" xfId="0" applyNumberFormat="1" applyFont="1" applyBorder="1" applyAlignment="1">
      <alignment/>
    </xf>
    <xf numFmtId="3" fontId="101" fillId="0" borderId="171" xfId="0" applyNumberFormat="1" applyFont="1" applyBorder="1" applyAlignment="1">
      <alignment/>
    </xf>
    <xf numFmtId="0" fontId="27" fillId="0" borderId="30" xfId="0" applyFont="1" applyBorder="1" applyAlignment="1">
      <alignment/>
    </xf>
    <xf numFmtId="182" fontId="25" fillId="0" borderId="136" xfId="0" applyNumberFormat="1" applyFont="1" applyFill="1" applyBorder="1" applyAlignment="1">
      <alignment/>
    </xf>
    <xf numFmtId="182" fontId="25" fillId="0" borderId="170" xfId="0" applyNumberFormat="1" applyFont="1" applyFill="1" applyBorder="1" applyAlignment="1">
      <alignment/>
    </xf>
    <xf numFmtId="166" fontId="25" fillId="0" borderId="16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42" fillId="0" borderId="0" xfId="0" applyNumberFormat="1" applyFont="1" applyAlignment="1">
      <alignment/>
    </xf>
    <xf numFmtId="3" fontId="27" fillId="0" borderId="19" xfId="0" applyNumberFormat="1" applyFont="1" applyFill="1" applyBorder="1" applyAlignment="1">
      <alignment horizontal="center" vertical="center" wrapText="1"/>
    </xf>
    <xf numFmtId="0" fontId="148" fillId="0" borderId="0" xfId="0" applyFont="1" applyAlignment="1">
      <alignment/>
    </xf>
    <xf numFmtId="1" fontId="148" fillId="0" borderId="0" xfId="0" applyNumberFormat="1" applyFont="1" applyBorder="1" applyAlignment="1">
      <alignment/>
    </xf>
    <xf numFmtId="49" fontId="58" fillId="0" borderId="20" xfId="124" applyNumberFormat="1" applyFont="1" applyFill="1" applyBorder="1">
      <alignment/>
      <protection/>
    </xf>
    <xf numFmtId="166" fontId="58" fillId="0" borderId="143" xfId="124" applyNumberFormat="1" applyFont="1" applyFill="1" applyBorder="1" applyAlignment="1">
      <alignment vertical="center"/>
      <protection/>
    </xf>
    <xf numFmtId="166" fontId="58" fillId="0" borderId="148" xfId="124" applyNumberFormat="1" applyFont="1" applyBorder="1" applyAlignment="1">
      <alignment horizontal="center" vertical="center"/>
      <protection/>
    </xf>
    <xf numFmtId="166" fontId="25" fillId="88" borderId="113" xfId="0" applyNumberFormat="1" applyFont="1" applyFill="1" applyBorder="1" applyAlignment="1">
      <alignment/>
    </xf>
    <xf numFmtId="166" fontId="25" fillId="68" borderId="169" xfId="0" applyNumberFormat="1" applyFont="1" applyFill="1" applyBorder="1" applyAlignment="1">
      <alignment/>
    </xf>
    <xf numFmtId="166" fontId="0" fillId="14" borderId="118" xfId="0" applyNumberFormat="1" applyFont="1" applyFill="1" applyBorder="1" applyAlignment="1">
      <alignment/>
    </xf>
    <xf numFmtId="166" fontId="0" fillId="14" borderId="119" xfId="0" applyNumberFormat="1" applyFont="1" applyFill="1" applyBorder="1" applyAlignment="1">
      <alignment/>
    </xf>
    <xf numFmtId="166" fontId="0" fillId="14" borderId="120" xfId="0" applyNumberFormat="1" applyFont="1" applyFill="1" applyBorder="1" applyAlignment="1">
      <alignment/>
    </xf>
    <xf numFmtId="166" fontId="37" fillId="19" borderId="119" xfId="0" applyNumberFormat="1" applyFont="1" applyFill="1" applyBorder="1" applyAlignment="1">
      <alignment/>
    </xf>
    <xf numFmtId="166" fontId="37" fillId="19" borderId="120" xfId="0" applyNumberFormat="1" applyFont="1" applyFill="1" applyBorder="1" applyAlignment="1">
      <alignment/>
    </xf>
    <xf numFmtId="172" fontId="0" fillId="14" borderId="174" xfId="0" applyNumberFormat="1" applyFill="1" applyBorder="1" applyAlignment="1">
      <alignment/>
    </xf>
    <xf numFmtId="0" fontId="167" fillId="0" borderId="0" xfId="0" applyFont="1" applyAlignment="1">
      <alignment/>
    </xf>
    <xf numFmtId="166" fontId="166" fillId="14" borderId="40" xfId="0" applyNumberFormat="1" applyFont="1" applyFill="1" applyBorder="1" applyAlignment="1">
      <alignment wrapText="1"/>
    </xf>
    <xf numFmtId="167" fontId="167" fillId="14" borderId="40" xfId="0" applyNumberFormat="1" applyFont="1" applyFill="1" applyBorder="1" applyAlignment="1">
      <alignment wrapText="1"/>
    </xf>
    <xf numFmtId="172" fontId="27" fillId="19" borderId="19" xfId="0" applyNumberFormat="1" applyFont="1" applyFill="1" applyBorder="1" applyAlignment="1">
      <alignment/>
    </xf>
    <xf numFmtId="172" fontId="27" fillId="14" borderId="19" xfId="0" applyNumberFormat="1" applyFont="1" applyFill="1" applyBorder="1" applyAlignment="1">
      <alignment/>
    </xf>
    <xf numFmtId="172" fontId="27" fillId="2" borderId="19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/>
    </xf>
    <xf numFmtId="174" fontId="20" fillId="0" borderId="40" xfId="182" applyNumberFormat="1" applyFont="1" applyFill="1" applyBorder="1" applyAlignment="1" applyProtection="1">
      <alignment horizontal="right" vertical="center"/>
      <protection/>
    </xf>
    <xf numFmtId="169" fontId="69" fillId="0" borderId="40" xfId="128" applyNumberFormat="1" applyFont="1" applyFill="1" applyBorder="1" applyAlignment="1" applyProtection="1">
      <alignment horizontal="right" vertical="center"/>
      <protection/>
    </xf>
    <xf numFmtId="0" fontId="69" fillId="0" borderId="40" xfId="128" applyFont="1" applyFill="1" applyBorder="1" applyAlignment="1" applyProtection="1">
      <alignment horizontal="right" vertical="center"/>
      <protection/>
    </xf>
    <xf numFmtId="3" fontId="69" fillId="0" borderId="40" xfId="128" applyNumberFormat="1" applyFont="1" applyFill="1" applyBorder="1" applyAlignment="1" applyProtection="1">
      <alignment horizontal="right" vertical="center"/>
      <protection/>
    </xf>
    <xf numFmtId="182" fontId="0" fillId="0" borderId="119" xfId="0" applyNumberFormat="1" applyFont="1" applyFill="1" applyBorder="1" applyAlignment="1">
      <alignment/>
    </xf>
    <xf numFmtId="166" fontId="0" fillId="61" borderId="1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68" fillId="0" borderId="0" xfId="128" applyNumberFormat="1" applyFont="1" applyFill="1" applyBorder="1" applyAlignment="1">
      <alignment vertical="center"/>
      <protection/>
    </xf>
    <xf numFmtId="0" fontId="142" fillId="0" borderId="0" xfId="0" applyFont="1" applyBorder="1" applyAlignment="1">
      <alignment/>
    </xf>
    <xf numFmtId="0" fontId="16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0" fillId="0" borderId="0" xfId="105" applyFont="1">
      <alignment/>
      <protection/>
    </xf>
    <xf numFmtId="0" fontId="116" fillId="0" borderId="0" xfId="105" applyFont="1">
      <alignment/>
      <protection/>
    </xf>
    <xf numFmtId="201" fontId="170" fillId="0" borderId="0" xfId="105" applyNumberFormat="1" applyFont="1">
      <alignment/>
      <protection/>
    </xf>
    <xf numFmtId="0" fontId="115" fillId="0" borderId="0" xfId="124" applyFont="1" applyBorder="1" applyAlignment="1">
      <alignment vertical="center"/>
      <protection/>
    </xf>
    <xf numFmtId="49" fontId="58" fillId="0" borderId="0" xfId="124" applyNumberFormat="1" applyFont="1" applyFill="1" applyBorder="1">
      <alignment/>
      <protection/>
    </xf>
    <xf numFmtId="166" fontId="22" fillId="19" borderId="40" xfId="0" applyNumberFormat="1" applyFont="1" applyFill="1" applyBorder="1" applyAlignment="1">
      <alignment vertical="center" wrapText="1"/>
    </xf>
    <xf numFmtId="167" fontId="21" fillId="19" borderId="40" xfId="0" applyNumberFormat="1" applyFont="1" applyFill="1" applyBorder="1" applyAlignment="1">
      <alignment vertical="center" wrapText="1"/>
    </xf>
    <xf numFmtId="166" fontId="21" fillId="19" borderId="43" xfId="0" applyNumberFormat="1" applyFont="1" applyFill="1" applyBorder="1" applyAlignment="1">
      <alignment vertical="center" wrapText="1"/>
    </xf>
    <xf numFmtId="49" fontId="39" fillId="19" borderId="40" xfId="0" applyNumberFormat="1" applyFont="1" applyFill="1" applyBorder="1" applyAlignment="1">
      <alignment horizontal="center" vertical="center" wrapText="1"/>
    </xf>
    <xf numFmtId="166" fontId="23" fillId="19" borderId="40" xfId="0" applyNumberFormat="1" applyFont="1" applyFill="1" applyBorder="1" applyAlignment="1">
      <alignment vertical="center" wrapText="1"/>
    </xf>
    <xf numFmtId="167" fontId="19" fillId="19" borderId="40" xfId="0" applyNumberFormat="1" applyFont="1" applyFill="1" applyBorder="1" applyAlignment="1">
      <alignment vertical="center" wrapText="1"/>
    </xf>
    <xf numFmtId="166" fontId="19" fillId="19" borderId="43" xfId="0" applyNumberFormat="1" applyFont="1" applyFill="1" applyBorder="1" applyAlignment="1">
      <alignment vertical="center" wrapText="1"/>
    </xf>
    <xf numFmtId="172" fontId="0" fillId="0" borderId="19" xfId="0" applyNumberFormat="1" applyFont="1" applyFill="1" applyBorder="1" applyAlignment="1">
      <alignment/>
    </xf>
    <xf numFmtId="0" fontId="62" fillId="0" borderId="49" xfId="0" applyFont="1" applyBorder="1" applyAlignment="1">
      <alignment horizontal="center" vertical="center"/>
    </xf>
    <xf numFmtId="0" fontId="62" fillId="0" borderId="175" xfId="0" applyFont="1" applyBorder="1" applyAlignment="1">
      <alignment horizontal="center" vertical="center"/>
    </xf>
    <xf numFmtId="3" fontId="27" fillId="19" borderId="49" xfId="0" applyNumberFormat="1" applyFont="1" applyFill="1" applyBorder="1" applyAlignment="1">
      <alignment horizontal="center" vertical="center" wrapText="1"/>
    </xf>
    <xf numFmtId="3" fontId="27" fillId="19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7" fillId="62" borderId="176" xfId="0" applyFont="1" applyFill="1" applyBorder="1" applyAlignment="1">
      <alignment horizontal="center" vertical="center" wrapText="1"/>
    </xf>
    <xf numFmtId="0" fontId="117" fillId="62" borderId="177" xfId="0" applyFont="1" applyFill="1" applyBorder="1" applyAlignment="1">
      <alignment horizontal="center" vertical="center" wrapText="1"/>
    </xf>
    <xf numFmtId="0" fontId="117" fillId="62" borderId="178" xfId="0" applyFont="1" applyFill="1" applyBorder="1" applyAlignment="1">
      <alignment horizontal="center" vertical="center" wrapText="1"/>
    </xf>
    <xf numFmtId="0" fontId="117" fillId="62" borderId="179" xfId="0" applyFont="1" applyFill="1" applyBorder="1" applyAlignment="1">
      <alignment horizontal="center" vertical="center" wrapText="1"/>
    </xf>
    <xf numFmtId="0" fontId="117" fillId="62" borderId="101" xfId="0" applyFont="1" applyFill="1" applyBorder="1" applyAlignment="1">
      <alignment horizontal="center" vertical="center" wrapText="1"/>
    </xf>
    <xf numFmtId="0" fontId="117" fillId="62" borderId="180" xfId="0" applyFont="1" applyFill="1" applyBorder="1" applyAlignment="1">
      <alignment horizontal="center" vertical="center" wrapText="1"/>
    </xf>
    <xf numFmtId="0" fontId="117" fillId="62" borderId="181" xfId="0" applyFont="1" applyFill="1" applyBorder="1" applyAlignment="1">
      <alignment horizontal="center" vertical="center" wrapText="1"/>
    </xf>
    <xf numFmtId="0" fontId="117" fillId="62" borderId="176" xfId="97" applyFont="1" applyFill="1" applyBorder="1" applyAlignment="1">
      <alignment horizontal="center" vertical="center" wrapText="1"/>
      <protection/>
    </xf>
    <xf numFmtId="0" fontId="117" fillId="62" borderId="177" xfId="97" applyFont="1" applyFill="1" applyBorder="1" applyAlignment="1">
      <alignment horizontal="center" vertical="center" wrapText="1"/>
      <protection/>
    </xf>
    <xf numFmtId="0" fontId="117" fillId="62" borderId="178" xfId="97" applyFont="1" applyFill="1" applyBorder="1" applyAlignment="1">
      <alignment horizontal="center" vertical="center" wrapText="1"/>
      <protection/>
    </xf>
    <xf numFmtId="0" fontId="117" fillId="62" borderId="179" xfId="97" applyFont="1" applyFill="1" applyBorder="1" applyAlignment="1">
      <alignment horizontal="center" vertical="center" wrapText="1"/>
      <protection/>
    </xf>
    <xf numFmtId="0" fontId="117" fillId="62" borderId="181" xfId="97" applyFont="1" applyFill="1" applyBorder="1" applyAlignment="1">
      <alignment horizontal="center" vertical="center" wrapText="1"/>
      <protection/>
    </xf>
    <xf numFmtId="0" fontId="115" fillId="0" borderId="0" xfId="97" applyAlignment="1">
      <alignment wrapText="1"/>
      <protection/>
    </xf>
    <xf numFmtId="0" fontId="115" fillId="0" borderId="0" xfId="97">
      <alignment/>
      <protection/>
    </xf>
    <xf numFmtId="0" fontId="115" fillId="0" borderId="0" xfId="97" applyAlignment="1">
      <alignment horizontal="center"/>
      <protection/>
    </xf>
    <xf numFmtId="0" fontId="117" fillId="0" borderId="40" xfId="124" applyFont="1" applyFill="1" applyBorder="1" applyAlignment="1">
      <alignment horizontal="left" vertical="center"/>
      <protection/>
    </xf>
    <xf numFmtId="0" fontId="60" fillId="99" borderId="49" xfId="0" applyFont="1" applyFill="1" applyBorder="1" applyAlignment="1">
      <alignment horizontal="center"/>
    </xf>
    <xf numFmtId="0" fontId="60" fillId="99" borderId="50" xfId="0" applyFont="1" applyFill="1" applyBorder="1" applyAlignment="1">
      <alignment horizontal="center"/>
    </xf>
    <xf numFmtId="0" fontId="60" fillId="99" borderId="51" xfId="0" applyFont="1" applyFill="1" applyBorder="1" applyAlignment="1">
      <alignment horizontal="center"/>
    </xf>
    <xf numFmtId="0" fontId="158" fillId="0" borderId="0" xfId="124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17" fillId="0" borderId="182" xfId="124" applyFont="1" applyFill="1" applyBorder="1" applyAlignment="1">
      <alignment horizontal="center" vertical="center" wrapText="1"/>
      <protection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27" fillId="0" borderId="19" xfId="0" applyFont="1" applyFill="1" applyBorder="1" applyAlignment="1">
      <alignment horizontal="center" vertical="center"/>
    </xf>
    <xf numFmtId="49" fontId="64" fillId="0" borderId="74" xfId="128" applyNumberFormat="1" applyFont="1" applyFill="1" applyBorder="1" applyAlignment="1" applyProtection="1">
      <alignment horizontal="center" vertical="center"/>
      <protection/>
    </xf>
    <xf numFmtId="49" fontId="64" fillId="0" borderId="85" xfId="128" applyNumberFormat="1" applyFont="1" applyFill="1" applyBorder="1" applyAlignment="1" applyProtection="1">
      <alignment horizontal="center" vertical="center"/>
      <protection/>
    </xf>
    <xf numFmtId="0" fontId="64" fillId="25" borderId="95" xfId="128" applyFont="1" applyFill="1" applyBorder="1" applyAlignment="1">
      <alignment horizontal="center" vertical="center" wrapText="1"/>
      <protection/>
    </xf>
    <xf numFmtId="0" fontId="64" fillId="25" borderId="186" xfId="128" applyFont="1" applyFill="1" applyBorder="1" applyAlignment="1">
      <alignment horizontal="center" vertical="center" wrapText="1"/>
      <protection/>
    </xf>
    <xf numFmtId="0" fontId="64" fillId="25" borderId="140" xfId="128" applyFont="1" applyFill="1" applyBorder="1" applyAlignment="1">
      <alignment horizontal="center" vertical="center" wrapText="1"/>
      <protection/>
    </xf>
    <xf numFmtId="0" fontId="64" fillId="25" borderId="60" xfId="128" applyFont="1" applyFill="1" applyBorder="1" applyAlignment="1">
      <alignment horizontal="center" vertical="center" wrapText="1"/>
      <protection/>
    </xf>
    <xf numFmtId="0" fontId="64" fillId="25" borderId="0" xfId="128" applyFont="1" applyFill="1" applyBorder="1" applyAlignment="1">
      <alignment horizontal="center" vertical="center" wrapText="1"/>
      <protection/>
    </xf>
    <xf numFmtId="0" fontId="64" fillId="25" borderId="55" xfId="128" applyFont="1" applyFill="1" applyBorder="1" applyAlignment="1">
      <alignment horizontal="center" vertical="center" wrapText="1"/>
      <protection/>
    </xf>
    <xf numFmtId="0" fontId="65" fillId="25" borderId="95" xfId="128" applyFont="1" applyFill="1" applyBorder="1" applyAlignment="1">
      <alignment horizontal="center" vertical="center" wrapText="1"/>
      <protection/>
    </xf>
    <xf numFmtId="0" fontId="65" fillId="25" borderId="140" xfId="128" applyFont="1" applyFill="1" applyBorder="1" applyAlignment="1">
      <alignment horizontal="center" vertical="center" wrapText="1"/>
      <protection/>
    </xf>
    <xf numFmtId="0" fontId="65" fillId="25" borderId="60" xfId="128" applyFont="1" applyFill="1" applyBorder="1" applyAlignment="1">
      <alignment horizontal="center" vertical="center" wrapText="1"/>
      <protection/>
    </xf>
    <xf numFmtId="0" fontId="65" fillId="25" borderId="55" xfId="128" applyFont="1" applyFill="1" applyBorder="1" applyAlignment="1">
      <alignment horizontal="center" vertical="center" wrapText="1"/>
      <protection/>
    </xf>
    <xf numFmtId="0" fontId="56" fillId="25" borderId="138" xfId="128" applyNumberFormat="1" applyFont="1" applyFill="1" applyBorder="1" applyAlignment="1" applyProtection="1">
      <alignment horizontal="center" vertical="center" wrapText="1"/>
      <protection/>
    </xf>
    <xf numFmtId="0" fontId="56" fillId="25" borderId="187" xfId="128" applyNumberFormat="1" applyFont="1" applyFill="1" applyBorder="1" applyAlignment="1" applyProtection="1">
      <alignment horizontal="center" vertical="center" wrapText="1"/>
      <protection/>
    </xf>
    <xf numFmtId="0" fontId="56" fillId="25" borderId="188" xfId="128" applyNumberFormat="1" applyFont="1" applyFill="1" applyBorder="1" applyAlignment="1" applyProtection="1">
      <alignment horizontal="center" vertical="center" wrapText="1"/>
      <protection/>
    </xf>
    <xf numFmtId="0" fontId="56" fillId="25" borderId="182" xfId="128" applyNumberFormat="1" applyFont="1" applyFill="1" applyBorder="1" applyAlignment="1" applyProtection="1">
      <alignment horizontal="center" vertical="center" wrapText="1"/>
      <protection/>
    </xf>
    <xf numFmtId="0" fontId="56" fillId="25" borderId="95" xfId="128" applyFont="1" applyFill="1" applyBorder="1" applyAlignment="1">
      <alignment horizontal="center" vertical="center" wrapText="1"/>
      <protection/>
    </xf>
    <xf numFmtId="0" fontId="56" fillId="25" borderId="186" xfId="128" applyFont="1" applyFill="1" applyBorder="1" applyAlignment="1">
      <alignment horizontal="center" vertical="center" wrapText="1"/>
      <protection/>
    </xf>
    <xf numFmtId="0" fontId="56" fillId="25" borderId="140" xfId="128" applyFont="1" applyFill="1" applyBorder="1" applyAlignment="1">
      <alignment horizontal="center" vertical="center" wrapText="1"/>
      <protection/>
    </xf>
    <xf numFmtId="0" fontId="56" fillId="25" borderId="60" xfId="128" applyFont="1" applyFill="1" applyBorder="1" applyAlignment="1">
      <alignment horizontal="center" vertical="center" wrapText="1"/>
      <protection/>
    </xf>
    <xf numFmtId="0" fontId="56" fillId="25" borderId="0" xfId="128" applyFont="1" applyFill="1" applyBorder="1" applyAlignment="1">
      <alignment horizontal="center" vertical="center" wrapText="1"/>
      <protection/>
    </xf>
    <xf numFmtId="0" fontId="56" fillId="25" borderId="55" xfId="128" applyFont="1" applyFill="1" applyBorder="1" applyAlignment="1">
      <alignment horizontal="center" vertical="center" wrapText="1"/>
      <protection/>
    </xf>
    <xf numFmtId="0" fontId="54" fillId="25" borderId="95" xfId="128" applyFont="1" applyFill="1" applyBorder="1" applyAlignment="1">
      <alignment horizontal="center" vertical="center" wrapText="1"/>
      <protection/>
    </xf>
    <xf numFmtId="0" fontId="54" fillId="25" borderId="140" xfId="128" applyFont="1" applyFill="1" applyBorder="1" applyAlignment="1">
      <alignment horizontal="center" vertical="center" wrapText="1"/>
      <protection/>
    </xf>
    <xf numFmtId="0" fontId="54" fillId="25" borderId="78" xfId="128" applyFont="1" applyFill="1" applyBorder="1" applyAlignment="1">
      <alignment horizontal="center" vertical="center" wrapText="1"/>
      <protection/>
    </xf>
    <xf numFmtId="0" fontId="54" fillId="25" borderId="100" xfId="128" applyFont="1" applyFill="1" applyBorder="1" applyAlignment="1">
      <alignment horizontal="center" vertical="center" wrapText="1"/>
      <protection/>
    </xf>
    <xf numFmtId="174" fontId="65" fillId="25" borderId="138" xfId="181" applyNumberFormat="1" applyFont="1" applyFill="1" applyBorder="1" applyAlignment="1" applyProtection="1">
      <alignment horizontal="center" vertical="center" wrapText="1"/>
      <protection/>
    </xf>
    <xf numFmtId="174" fontId="65" fillId="25" borderId="41" xfId="181" applyNumberFormat="1" applyFont="1" applyFill="1" applyBorder="1" applyAlignment="1" applyProtection="1">
      <alignment horizontal="center" vertical="center" wrapText="1"/>
      <protection/>
    </xf>
    <xf numFmtId="174" fontId="65" fillId="25" borderId="137" xfId="181" applyNumberFormat="1" applyFont="1" applyFill="1" applyBorder="1" applyAlignment="1" applyProtection="1">
      <alignment horizontal="center" vertical="center" wrapText="1"/>
      <protection/>
    </xf>
    <xf numFmtId="0" fontId="71" fillId="25" borderId="95" xfId="128" applyFont="1" applyFill="1" applyBorder="1" applyAlignment="1">
      <alignment horizontal="center" vertical="center" wrapText="1"/>
      <protection/>
    </xf>
    <xf numFmtId="0" fontId="71" fillId="25" borderId="140" xfId="128" applyFont="1" applyFill="1" applyBorder="1" applyAlignment="1">
      <alignment horizontal="center" vertical="center" wrapText="1"/>
      <protection/>
    </xf>
    <xf numFmtId="0" fontId="71" fillId="25" borderId="78" xfId="128" applyFont="1" applyFill="1" applyBorder="1" applyAlignment="1">
      <alignment horizontal="center" vertical="center" wrapText="1"/>
      <protection/>
    </xf>
    <xf numFmtId="0" fontId="71" fillId="25" borderId="100" xfId="128" applyFont="1" applyFill="1" applyBorder="1" applyAlignment="1">
      <alignment horizontal="center" vertical="center" wrapText="1"/>
      <protection/>
    </xf>
    <xf numFmtId="174" fontId="65" fillId="25" borderId="189" xfId="181" applyNumberFormat="1" applyFont="1" applyFill="1" applyBorder="1" applyAlignment="1" applyProtection="1">
      <alignment horizontal="center" vertical="center" wrapText="1"/>
      <protection/>
    </xf>
    <xf numFmtId="174" fontId="65" fillId="25" borderId="190" xfId="181" applyNumberFormat="1" applyFont="1" applyFill="1" applyBorder="1" applyAlignment="1" applyProtection="1">
      <alignment horizontal="center" vertical="center" wrapText="1"/>
      <protection/>
    </xf>
    <xf numFmtId="0" fontId="65" fillId="76" borderId="191" xfId="128" applyFont="1" applyFill="1" applyBorder="1" applyAlignment="1">
      <alignment horizontal="center" vertical="center" wrapText="1"/>
      <protection/>
    </xf>
    <xf numFmtId="0" fontId="65" fillId="76" borderId="192" xfId="128" applyFont="1" applyFill="1" applyBorder="1" applyAlignment="1">
      <alignment horizontal="center" vertical="center" wrapText="1"/>
      <protection/>
    </xf>
    <xf numFmtId="0" fontId="65" fillId="24" borderId="95" xfId="128" applyFont="1" applyFill="1" applyBorder="1" applyAlignment="1">
      <alignment horizontal="center" vertical="center" wrapText="1"/>
      <protection/>
    </xf>
    <xf numFmtId="0" fontId="65" fillId="24" borderId="78" xfId="128" applyFont="1" applyFill="1" applyBorder="1" applyAlignment="1">
      <alignment horizontal="center" vertical="center" wrapText="1"/>
      <protection/>
    </xf>
    <xf numFmtId="0" fontId="58" fillId="0" borderId="74" xfId="128" applyNumberFormat="1" applyFont="1" applyFill="1" applyBorder="1" applyAlignment="1" applyProtection="1">
      <alignment horizontal="center" vertical="center" wrapText="1"/>
      <protection/>
    </xf>
    <xf numFmtId="0" fontId="58" fillId="0" borderId="85" xfId="128" applyNumberFormat="1" applyFont="1" applyFill="1" applyBorder="1" applyAlignment="1" applyProtection="1">
      <alignment horizontal="center" vertical="center" wrapText="1"/>
      <protection/>
    </xf>
    <xf numFmtId="0" fontId="27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62" fillId="0" borderId="182" xfId="0" applyFont="1" applyBorder="1" applyAlignment="1">
      <alignment horizontal="center" vertical="center"/>
    </xf>
    <xf numFmtId="0" fontId="62" fillId="0" borderId="183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62" fillId="0" borderId="194" xfId="0" applyFont="1" applyBorder="1" applyAlignment="1">
      <alignment horizontal="center" vertical="center"/>
    </xf>
    <xf numFmtId="0" fontId="62" fillId="0" borderId="195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56" borderId="19" xfId="0" applyFont="1" applyFill="1" applyBorder="1" applyAlignment="1">
      <alignment/>
    </xf>
    <xf numFmtId="0" fontId="0" fillId="59" borderId="19" xfId="0" applyFont="1" applyFill="1" applyBorder="1" applyAlignment="1">
      <alignment/>
    </xf>
    <xf numFmtId="0" fontId="27" fillId="0" borderId="138" xfId="0" applyFont="1" applyBorder="1" applyAlignment="1">
      <alignment horizontal="center" vertical="center" wrapText="1"/>
    </xf>
    <xf numFmtId="0" fontId="27" fillId="0" borderId="137" xfId="0" applyFont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17" fillId="0" borderId="49" xfId="124" applyFont="1" applyBorder="1" applyAlignment="1">
      <alignment horizontal="center" wrapText="1"/>
      <protection/>
    </xf>
    <xf numFmtId="0" fontId="27" fillId="0" borderId="51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27" fillId="19" borderId="20" xfId="0" applyFont="1" applyFill="1" applyBorder="1" applyAlignment="1">
      <alignment horizontal="center"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37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62" fillId="0" borderId="196" xfId="0" applyFont="1" applyBorder="1" applyAlignment="1">
      <alignment horizontal="center" vertical="center" wrapText="1"/>
    </xf>
    <xf numFmtId="0" fontId="62" fillId="0" borderId="153" xfId="0" applyFont="1" applyBorder="1" applyAlignment="1">
      <alignment horizontal="center" vertical="center" wrapText="1"/>
    </xf>
    <xf numFmtId="0" fontId="62" fillId="0" borderId="197" xfId="0" applyFont="1" applyBorder="1" applyAlignment="1">
      <alignment horizontal="center" vertical="center" wrapText="1"/>
    </xf>
    <xf numFmtId="0" fontId="62" fillId="0" borderId="159" xfId="0" applyFont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27" fillId="14" borderId="1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</cellXfs>
  <cellStyles count="204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" xfId="51"/>
    <cellStyle name="Accent 1" xfId="52"/>
    <cellStyle name="Accent 2" xfId="53"/>
    <cellStyle name="Accent 3" xfId="54"/>
    <cellStyle name="Bad" xfId="55"/>
    <cellStyle name="Celkem" xfId="56"/>
    <cellStyle name="Celkem 2" xfId="57"/>
    <cellStyle name="Comma" xfId="58"/>
    <cellStyle name="Čárka 2" xfId="59"/>
    <cellStyle name="Comma [0]" xfId="60"/>
    <cellStyle name="Error" xfId="61"/>
    <cellStyle name="Excel Built-in Normal" xfId="62"/>
    <cellStyle name="Excel Built-in Percent" xfId="63"/>
    <cellStyle name="Footnote" xfId="64"/>
    <cellStyle name="Good" xfId="65"/>
    <cellStyle name="Heading" xfId="66"/>
    <cellStyle name="Heading 1" xfId="67"/>
    <cellStyle name="Heading 2" xfId="68"/>
    <cellStyle name="Hyperlink" xfId="69"/>
    <cellStyle name="Hyperlink" xfId="70"/>
    <cellStyle name="Hypertextový odkaz 2" xfId="71"/>
    <cellStyle name="Chybně 2" xfId="72"/>
    <cellStyle name="Kontrolní buňka" xfId="73"/>
    <cellStyle name="Kontrolní buňka 2" xfId="74"/>
    <cellStyle name="Currency" xfId="75"/>
    <cellStyle name="Měna 2" xfId="76"/>
    <cellStyle name="Currency [0]" xfId="77"/>
    <cellStyle name="Nadpis - excel" xfId="78"/>
    <cellStyle name="Nadpis 1" xfId="79"/>
    <cellStyle name="Nadpis 1 2" xfId="80"/>
    <cellStyle name="Nadpis 2" xfId="81"/>
    <cellStyle name="Nadpis 2 2" xfId="82"/>
    <cellStyle name="Nadpis 3" xfId="83"/>
    <cellStyle name="Nadpis 3 2" xfId="84"/>
    <cellStyle name="Nadpis 4" xfId="85"/>
    <cellStyle name="Nadpis 4 2" xfId="86"/>
    <cellStyle name="Název" xfId="87"/>
    <cellStyle name="Název 2" xfId="88"/>
    <cellStyle name="Název 3" xfId="89"/>
    <cellStyle name="Neutral" xfId="90"/>
    <cellStyle name="Neutrální" xfId="91"/>
    <cellStyle name="Neutrální 2" xfId="92"/>
    <cellStyle name="Normální 10" xfId="93"/>
    <cellStyle name="Normální 10 2" xfId="94"/>
    <cellStyle name="Normální 11" xfId="95"/>
    <cellStyle name="Normální 11 2" xfId="96"/>
    <cellStyle name="Normální 11 2 2" xfId="97"/>
    <cellStyle name="Normální 12" xfId="98"/>
    <cellStyle name="Normální 13" xfId="99"/>
    <cellStyle name="Normální 13 2" xfId="100"/>
    <cellStyle name="Normální 14" xfId="101"/>
    <cellStyle name="Normální 14 10" xfId="102"/>
    <cellStyle name="normální 14 2" xfId="103"/>
    <cellStyle name="normální 14 2 2" xfId="104"/>
    <cellStyle name="normální 14 3" xfId="105"/>
    <cellStyle name="Normální 14 4" xfId="106"/>
    <cellStyle name="Normální 14 5" xfId="107"/>
    <cellStyle name="Normální 14 6" xfId="108"/>
    <cellStyle name="Normální 14 7" xfId="109"/>
    <cellStyle name="Normální 14 8" xfId="110"/>
    <cellStyle name="Normální 14 9" xfId="111"/>
    <cellStyle name="Normální 15" xfId="112"/>
    <cellStyle name="Normální 15 2" xfId="113"/>
    <cellStyle name="Normální 16" xfId="114"/>
    <cellStyle name="Normální 16 2" xfId="115"/>
    <cellStyle name="Normální 17" xfId="116"/>
    <cellStyle name="Normální 17 2" xfId="117"/>
    <cellStyle name="Normální 18" xfId="118"/>
    <cellStyle name="Normální 18 2" xfId="119"/>
    <cellStyle name="Normální 19" xfId="120"/>
    <cellStyle name="Normální 2" xfId="121"/>
    <cellStyle name="Normální 2 10" xfId="122"/>
    <cellStyle name="Normální 2 11" xfId="123"/>
    <cellStyle name="Normální 2 2" xfId="124"/>
    <cellStyle name="normální 2 2 3" xfId="125"/>
    <cellStyle name="Normální 2 3" xfId="126"/>
    <cellStyle name="Normální 2 4" xfId="127"/>
    <cellStyle name="normální 2 5" xfId="128"/>
    <cellStyle name="Normální 2 6" xfId="129"/>
    <cellStyle name="Normální 2 7" xfId="130"/>
    <cellStyle name="Normální 2 8" xfId="131"/>
    <cellStyle name="Normální 2 9" xfId="132"/>
    <cellStyle name="Normální 20" xfId="133"/>
    <cellStyle name="Normální 21" xfId="134"/>
    <cellStyle name="Normální 22" xfId="135"/>
    <cellStyle name="Normální 22 2" xfId="136"/>
    <cellStyle name="Normální 23" xfId="137"/>
    <cellStyle name="Normální 23 2" xfId="138"/>
    <cellStyle name="Normální 24" xfId="139"/>
    <cellStyle name="Normální 24 2" xfId="140"/>
    <cellStyle name="Normální 25" xfId="141"/>
    <cellStyle name="Normální 25 2" xfId="142"/>
    <cellStyle name="Normální 26" xfId="143"/>
    <cellStyle name="Normální 26 2" xfId="144"/>
    <cellStyle name="Normální 27" xfId="145"/>
    <cellStyle name="Normální 27 2" xfId="146"/>
    <cellStyle name="Normální 28" xfId="147"/>
    <cellStyle name="Normální 28 2" xfId="148"/>
    <cellStyle name="Normální 29" xfId="149"/>
    <cellStyle name="Normální 29 2" xfId="150"/>
    <cellStyle name="Normální 3" xfId="151"/>
    <cellStyle name="Normální 3 2" xfId="152"/>
    <cellStyle name="Normální 30" xfId="153"/>
    <cellStyle name="Normální 30 2" xfId="154"/>
    <cellStyle name="Normální 31" xfId="155"/>
    <cellStyle name="Normální 31 2" xfId="156"/>
    <cellStyle name="Normální 32" xfId="157"/>
    <cellStyle name="Normální 32 2" xfId="158"/>
    <cellStyle name="Normální 33" xfId="159"/>
    <cellStyle name="Normální 34" xfId="160"/>
    <cellStyle name="Normální 35" xfId="161"/>
    <cellStyle name="Normální 36" xfId="162"/>
    <cellStyle name="Normální 37" xfId="163"/>
    <cellStyle name="Normální 38" xfId="164"/>
    <cellStyle name="Normální 39" xfId="165"/>
    <cellStyle name="Normální 4" xfId="166"/>
    <cellStyle name="Normální 40" xfId="167"/>
    <cellStyle name="Normální 5" xfId="168"/>
    <cellStyle name="normální 5 2" xfId="169"/>
    <cellStyle name="Normální 5 3" xfId="170"/>
    <cellStyle name="Normální 5 4" xfId="171"/>
    <cellStyle name="Normální 6" xfId="172"/>
    <cellStyle name="Normální 7" xfId="173"/>
    <cellStyle name="Normální 8" xfId="174"/>
    <cellStyle name="Normální 9" xfId="175"/>
    <cellStyle name="Note" xfId="176"/>
    <cellStyle name="Percent 2" xfId="177"/>
    <cellStyle name="Followed Hyperlink" xfId="178"/>
    <cellStyle name="Poznámka" xfId="179"/>
    <cellStyle name="Poznámka 2" xfId="180"/>
    <cellStyle name="procent 2" xfId="181"/>
    <cellStyle name="Percent" xfId="182"/>
    <cellStyle name="Procenta 2" xfId="183"/>
    <cellStyle name="Procenta 3" xfId="184"/>
    <cellStyle name="Procenta 3 2" xfId="185"/>
    <cellStyle name="Procenta 4" xfId="186"/>
    <cellStyle name="Procenta 5" xfId="187"/>
    <cellStyle name="Propojená buňka" xfId="188"/>
    <cellStyle name="Propojená buňka 2" xfId="189"/>
    <cellStyle name="Správně" xfId="190"/>
    <cellStyle name="Správně 2" xfId="191"/>
    <cellStyle name="Status" xfId="192"/>
    <cellStyle name="Špatně" xfId="193"/>
    <cellStyle name="Text" xfId="194"/>
    <cellStyle name="Text upozornění" xfId="195"/>
    <cellStyle name="Text upozornění 2" xfId="196"/>
    <cellStyle name="Vstup" xfId="197"/>
    <cellStyle name="Vstup 2" xfId="198"/>
    <cellStyle name="Výpočet" xfId="199"/>
    <cellStyle name="Výpočet 2" xfId="200"/>
    <cellStyle name="Výstup" xfId="201"/>
    <cellStyle name="Výstup 2" xfId="202"/>
    <cellStyle name="Vysvětlující text" xfId="203"/>
    <cellStyle name="Vysvětlující text 2" xfId="204"/>
    <cellStyle name="Warning" xfId="205"/>
    <cellStyle name="Zvýraznění 1" xfId="206"/>
    <cellStyle name="Zvýraznění 1 2" xfId="207"/>
    <cellStyle name="Zvýraznění 2" xfId="208"/>
    <cellStyle name="Zvýraznění 2 2" xfId="209"/>
    <cellStyle name="Zvýraznění 3" xfId="210"/>
    <cellStyle name="Zvýraznění 3 2" xfId="211"/>
    <cellStyle name="Zvýraznění 4" xfId="212"/>
    <cellStyle name="Zvýraznění 4 2" xfId="213"/>
    <cellStyle name="Zvýraznění 5" xfId="214"/>
    <cellStyle name="Zvýraznění 5 2" xfId="215"/>
    <cellStyle name="Zvýraznění 6" xfId="216"/>
    <cellStyle name="Zvýraznění 6 2" xfId="217"/>
  </cellStyles>
  <dxfs count="2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b/>
        <i val="0"/>
        <sz val="8"/>
      </font>
      <fill>
        <patternFill patternType="solid">
          <fgColor rgb="FFFF8080"/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FFC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CCCCCC"/>
      <rgbColor rgb="00D9D9D9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munek.UVTUK.051\AppData\Local\Microsoft\Windows\Temporary%20Internet%20Files\Content.Outlook\RG2QO8OF\BONIFIKAC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ifikace"/>
      <sheetName val="fakult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0"/>
  <sheetViews>
    <sheetView showZeros="0" tabSelected="1" zoomScalePageLayoutView="70" workbookViewId="0" topLeftCell="A1">
      <pane ySplit="1" topLeftCell="A48" activePane="bottomLeft" state="frozen"/>
      <selection pane="topLeft" activeCell="A1" sqref="A1"/>
      <selection pane="bottomLeft" activeCell="G19" sqref="G19"/>
    </sheetView>
  </sheetViews>
  <sheetFormatPr defaultColWidth="9.33203125" defaultRowHeight="12.75" customHeight="1"/>
  <cols>
    <col min="1" max="1" width="72.66015625" style="1" customWidth="1"/>
    <col min="2" max="2" width="18.5" style="2" customWidth="1"/>
    <col min="3" max="3" width="26.66015625" style="1" bestFit="1" customWidth="1"/>
    <col min="4" max="4" width="23.5" style="1" customWidth="1"/>
    <col min="5" max="5" width="20.16015625" style="1" bestFit="1" customWidth="1"/>
    <col min="6" max="6" width="21.16015625" style="1" bestFit="1" customWidth="1"/>
    <col min="7" max="7" width="17" style="1" customWidth="1"/>
    <col min="8" max="8" width="21" style="1" bestFit="1" customWidth="1"/>
    <col min="9" max="9" width="15.16015625" style="1" customWidth="1"/>
    <col min="10" max="13" width="15.5" style="1" customWidth="1"/>
    <col min="14" max="14" width="12.66015625" style="1" customWidth="1"/>
    <col min="15" max="16" width="15.5" style="1" customWidth="1"/>
    <col min="17" max="16384" width="9.33203125" style="1" customWidth="1"/>
  </cols>
  <sheetData>
    <row r="1" spans="1:12" ht="28.5" customHeight="1">
      <c r="A1" s="832" t="s">
        <v>0</v>
      </c>
      <c r="B1" s="186" t="s">
        <v>1</v>
      </c>
      <c r="C1" s="833">
        <v>2020</v>
      </c>
      <c r="D1" s="833">
        <v>2019</v>
      </c>
      <c r="E1" s="830" t="s">
        <v>738</v>
      </c>
      <c r="F1" s="831" t="s">
        <v>739</v>
      </c>
      <c r="G1" s="3"/>
      <c r="H1" s="3"/>
      <c r="I1" s="3"/>
      <c r="J1" s="1020"/>
      <c r="K1" s="1020"/>
      <c r="L1" s="3"/>
    </row>
    <row r="2" spans="1:11" ht="14.25" customHeight="1">
      <c r="A2" s="187" t="s">
        <v>444</v>
      </c>
      <c r="B2" s="171"/>
      <c r="C2" s="170">
        <v>2984419558.61414</v>
      </c>
      <c r="D2" s="170">
        <v>2854425736.028591</v>
      </c>
      <c r="E2" s="169">
        <f>IF(D2=0,0,C2/D2)</f>
        <v>1.0455411471893508</v>
      </c>
      <c r="F2" s="188">
        <f>C2-D2</f>
        <v>129993822.58554888</v>
      </c>
      <c r="J2" s="573"/>
      <c r="K2" s="573"/>
    </row>
    <row r="3" spans="1:11" ht="14.25" customHeight="1">
      <c r="A3" s="187" t="s">
        <v>445</v>
      </c>
      <c r="B3" s="171"/>
      <c r="C3" s="170">
        <v>735431263.83683</v>
      </c>
      <c r="D3" s="170">
        <v>692181623.3382736</v>
      </c>
      <c r="E3" s="169">
        <f>IF(D3=0,0,C3/D3)</f>
        <v>1.0624830810878376</v>
      </c>
      <c r="F3" s="188">
        <f>C3-D3</f>
        <v>43249640.498556376</v>
      </c>
      <c r="J3" s="573"/>
      <c r="K3" s="573"/>
    </row>
    <row r="4" spans="1:11" ht="14.25" customHeight="1">
      <c r="A4" s="189" t="s">
        <v>446</v>
      </c>
      <c r="B4" s="171"/>
      <c r="C4" s="168">
        <f>SUM(C2:C3)</f>
        <v>3719850822.45097</v>
      </c>
      <c r="D4" s="168">
        <f>SUM(D2:D3)</f>
        <v>3546607359.3668647</v>
      </c>
      <c r="E4" s="154">
        <f>IF(D4=0,0,C4/D4)</f>
        <v>1.0488476579248494</v>
      </c>
      <c r="F4" s="201">
        <f>C4-D4</f>
        <v>173243463.0841055</v>
      </c>
      <c r="J4" s="573"/>
      <c r="K4" s="573"/>
    </row>
    <row r="5" spans="1:11" s="3" customFormat="1" ht="1.5" customHeight="1">
      <c r="A5" s="190"/>
      <c r="B5" s="166"/>
      <c r="C5" s="589"/>
      <c r="D5" s="165"/>
      <c r="E5" s="164"/>
      <c r="F5" s="191"/>
      <c r="J5" s="573"/>
      <c r="K5" s="573"/>
    </row>
    <row r="6" spans="1:11" ht="14.25" customHeight="1">
      <c r="A6" s="192" t="s">
        <v>607</v>
      </c>
      <c r="B6" s="162"/>
      <c r="C6" s="161">
        <f>1610428324+355955365</f>
        <v>1966383689</v>
      </c>
      <c r="D6" s="161">
        <v>1679524440</v>
      </c>
      <c r="E6" s="148">
        <f>IF(D6=0,0,C6/D6)</f>
        <v>1.1707979009820184</v>
      </c>
      <c r="F6" s="193">
        <f>C6-D6</f>
        <v>286859249</v>
      </c>
      <c r="J6" s="573"/>
      <c r="K6" s="573"/>
    </row>
    <row r="7" spans="1:11" s="3" customFormat="1" ht="1.5" customHeight="1">
      <c r="A7" s="190"/>
      <c r="B7" s="166"/>
      <c r="C7" s="165"/>
      <c r="D7" s="165"/>
      <c r="E7" s="164"/>
      <c r="F7" s="191"/>
      <c r="J7" s="573"/>
      <c r="K7" s="573"/>
    </row>
    <row r="8" spans="1:11" ht="14.25" customHeight="1">
      <c r="A8" s="194" t="s">
        <v>2</v>
      </c>
      <c r="B8" s="147"/>
      <c r="C8" s="145">
        <v>294705706</v>
      </c>
      <c r="D8" s="145">
        <v>287393312</v>
      </c>
      <c r="E8" s="160">
        <f>IF(D8=0,0,C8/D8)</f>
        <v>1.0254438558403196</v>
      </c>
      <c r="F8" s="195">
        <f>C8-D8</f>
        <v>7312394</v>
      </c>
      <c r="J8" s="573"/>
      <c r="K8" s="573"/>
    </row>
    <row r="9" spans="1:11" s="3" customFormat="1" ht="3" customHeight="1">
      <c r="A9" s="190"/>
      <c r="B9" s="166"/>
      <c r="C9" s="589"/>
      <c r="D9" s="165"/>
      <c r="E9" s="164"/>
      <c r="F9" s="191"/>
      <c r="J9" s="573"/>
      <c r="K9" s="573"/>
    </row>
    <row r="10" spans="1:11" ht="14.25" customHeight="1">
      <c r="A10" s="196" t="s">
        <v>3</v>
      </c>
      <c r="B10" s="159"/>
      <c r="C10" s="158">
        <f>C4+C6+C8</f>
        <v>5980940217.45097</v>
      </c>
      <c r="D10" s="158">
        <f>D4+D6+D8</f>
        <v>5513525111.366865</v>
      </c>
      <c r="E10" s="157">
        <f>IF(D10=0,0,C10/D10)</f>
        <v>1.0847760909115052</v>
      </c>
      <c r="F10" s="197">
        <f>C10-D10</f>
        <v>467415106.08410454</v>
      </c>
      <c r="J10" s="573"/>
      <c r="K10" s="573"/>
    </row>
    <row r="11" spans="1:11" s="3" customFormat="1" ht="14.25" customHeight="1" hidden="1">
      <c r="A11" s="190"/>
      <c r="B11" s="166"/>
      <c r="C11" s="590"/>
      <c r="D11" s="172"/>
      <c r="E11" s="164"/>
      <c r="F11" s="191"/>
      <c r="J11" s="573"/>
      <c r="K11" s="573"/>
    </row>
    <row r="12" spans="1:11" s="3" customFormat="1" ht="0.75" customHeight="1">
      <c r="A12" s="198"/>
      <c r="B12" s="166"/>
      <c r="C12" s="590"/>
      <c r="D12" s="172"/>
      <c r="E12" s="167"/>
      <c r="F12" s="191"/>
      <c r="J12" s="573"/>
      <c r="K12" s="573"/>
    </row>
    <row r="13" spans="1:11" ht="14.25" customHeight="1">
      <c r="A13" s="199" t="s">
        <v>461</v>
      </c>
      <c r="B13" s="155"/>
      <c r="C13" s="591"/>
      <c r="D13" s="163"/>
      <c r="E13" s="156"/>
      <c r="F13" s="191"/>
      <c r="J13" s="573"/>
      <c r="K13" s="573"/>
    </row>
    <row r="14" spans="1:11" ht="0.75" customHeight="1">
      <c r="A14" s="199"/>
      <c r="B14" s="155"/>
      <c r="C14" s="591"/>
      <c r="D14" s="163"/>
      <c r="E14" s="156"/>
      <c r="F14" s="191"/>
      <c r="J14" s="573"/>
      <c r="K14" s="573"/>
    </row>
    <row r="15" spans="1:11" ht="24.75">
      <c r="A15" s="200" t="s">
        <v>1306</v>
      </c>
      <c r="B15" s="1146" t="s">
        <v>462</v>
      </c>
      <c r="C15" s="1147">
        <f>SUM(C17:C35)</f>
        <v>232121732</v>
      </c>
      <c r="D15" s="1147">
        <f>SUM(D17:D35)</f>
        <v>119700000</v>
      </c>
      <c r="E15" s="1148">
        <f aca="true" t="shared" si="0" ref="E15:E26">IF(D15=0,0,C15/D15)</f>
        <v>1.9391957560568087</v>
      </c>
      <c r="F15" s="1149">
        <f aca="true" t="shared" si="1" ref="F15:F26">C15-D15</f>
        <v>112421732</v>
      </c>
      <c r="J15" s="573"/>
      <c r="K15" s="573"/>
    </row>
    <row r="16" spans="1:11" ht="14.25" customHeight="1" hidden="1">
      <c r="A16" s="202" t="s">
        <v>447</v>
      </c>
      <c r="B16" s="171"/>
      <c r="C16" s="588"/>
      <c r="D16" s="168"/>
      <c r="E16" s="169">
        <f t="shared" si="0"/>
        <v>0</v>
      </c>
      <c r="F16" s="188">
        <f t="shared" si="1"/>
        <v>0</v>
      </c>
      <c r="J16" s="573"/>
      <c r="K16" s="573"/>
    </row>
    <row r="17" spans="1:11" ht="37.5">
      <c r="A17" s="203" t="s">
        <v>1309</v>
      </c>
      <c r="B17" s="1002" t="s">
        <v>454</v>
      </c>
      <c r="C17" s="1143">
        <v>15000000</v>
      </c>
      <c r="D17" s="1143">
        <v>15000000</v>
      </c>
      <c r="E17" s="1144">
        <f t="shared" si="0"/>
        <v>1</v>
      </c>
      <c r="F17" s="1145">
        <f t="shared" si="1"/>
        <v>0</v>
      </c>
      <c r="J17" s="573"/>
      <c r="K17" s="573"/>
    </row>
    <row r="18" spans="1:11" ht="27" customHeight="1">
      <c r="A18" s="203" t="s">
        <v>448</v>
      </c>
      <c r="B18" s="1002" t="s">
        <v>455</v>
      </c>
      <c r="C18" s="1143">
        <f>4500000+1000000</f>
        <v>5500000</v>
      </c>
      <c r="D18" s="1143">
        <v>4500000</v>
      </c>
      <c r="E18" s="1144">
        <f t="shared" si="0"/>
        <v>1.2222222222222223</v>
      </c>
      <c r="F18" s="1145">
        <f t="shared" si="1"/>
        <v>1000000</v>
      </c>
      <c r="J18" s="573"/>
      <c r="K18" s="573"/>
    </row>
    <row r="19" spans="1:11" ht="24.75">
      <c r="A19" s="203" t="s">
        <v>449</v>
      </c>
      <c r="B19" s="1002" t="s">
        <v>456</v>
      </c>
      <c r="C19" s="1143">
        <v>12000000</v>
      </c>
      <c r="D19" s="1143">
        <v>12000000</v>
      </c>
      <c r="E19" s="1144">
        <f t="shared" si="0"/>
        <v>1</v>
      </c>
      <c r="F19" s="1145">
        <f t="shared" si="1"/>
        <v>0</v>
      </c>
      <c r="J19" s="573"/>
      <c r="K19" s="573"/>
    </row>
    <row r="20" spans="1:11" ht="15.75" customHeight="1">
      <c r="A20" s="202" t="s">
        <v>450</v>
      </c>
      <c r="B20" s="1002" t="s">
        <v>457</v>
      </c>
      <c r="C20" s="1143">
        <v>19000000</v>
      </c>
      <c r="D20" s="1143">
        <v>19000000</v>
      </c>
      <c r="E20" s="1144">
        <f t="shared" si="0"/>
        <v>1</v>
      </c>
      <c r="F20" s="1145">
        <f t="shared" si="1"/>
        <v>0</v>
      </c>
      <c r="J20" s="573"/>
      <c r="K20" s="573"/>
    </row>
    <row r="21" spans="1:11" ht="37.5">
      <c r="A21" s="202" t="s">
        <v>451</v>
      </c>
      <c r="B21" s="1002" t="s">
        <v>458</v>
      </c>
      <c r="C21" s="1143">
        <v>9000000</v>
      </c>
      <c r="D21" s="1143">
        <v>9000000</v>
      </c>
      <c r="E21" s="1144">
        <f t="shared" si="0"/>
        <v>1</v>
      </c>
      <c r="F21" s="1145">
        <f t="shared" si="1"/>
        <v>0</v>
      </c>
      <c r="J21" s="573"/>
      <c r="K21" s="573"/>
    </row>
    <row r="22" spans="1:11" ht="12">
      <c r="A22" s="202" t="s">
        <v>608</v>
      </c>
      <c r="B22" s="171" t="s">
        <v>459</v>
      </c>
      <c r="C22" s="170">
        <v>4500000</v>
      </c>
      <c r="D22" s="170">
        <v>4500000</v>
      </c>
      <c r="E22" s="169">
        <f>IF(D22=0,0,C22/D22)</f>
        <v>1</v>
      </c>
      <c r="F22" s="188">
        <f>C22-D22</f>
        <v>0</v>
      </c>
      <c r="J22" s="573"/>
      <c r="K22" s="573"/>
    </row>
    <row r="23" spans="1:11" ht="24.75">
      <c r="A23" s="202" t="s">
        <v>740</v>
      </c>
      <c r="B23" s="1002" t="s">
        <v>1254</v>
      </c>
      <c r="C23" s="170">
        <v>30000000</v>
      </c>
      <c r="D23" s="170">
        <v>3150000</v>
      </c>
      <c r="E23" s="169">
        <f>IF(D23=0,0,C23/D23)</f>
        <v>9.523809523809524</v>
      </c>
      <c r="F23" s="188">
        <f>C23-D23</f>
        <v>26850000</v>
      </c>
      <c r="J23" s="573"/>
      <c r="K23" s="573"/>
    </row>
    <row r="24" spans="1:11" ht="12">
      <c r="A24" s="202" t="s">
        <v>609</v>
      </c>
      <c r="B24" s="171" t="s">
        <v>1255</v>
      </c>
      <c r="C24" s="170">
        <f>1350000+50000</f>
        <v>1400000</v>
      </c>
      <c r="D24" s="170">
        <v>1350000</v>
      </c>
      <c r="E24" s="169">
        <f>IF(D24=0,0,C24/D24)</f>
        <v>1.037037037037037</v>
      </c>
      <c r="F24" s="188">
        <f>C24-D24</f>
        <v>50000</v>
      </c>
      <c r="J24" s="573"/>
      <c r="K24" s="573"/>
    </row>
    <row r="25" spans="1:11" ht="12.75" customHeight="1">
      <c r="A25" s="202" t="s">
        <v>611</v>
      </c>
      <c r="B25" s="171" t="s">
        <v>460</v>
      </c>
      <c r="C25" s="170">
        <v>1000000</v>
      </c>
      <c r="D25" s="170">
        <v>1000000</v>
      </c>
      <c r="E25" s="169">
        <f t="shared" si="0"/>
        <v>1</v>
      </c>
      <c r="F25" s="188">
        <f t="shared" si="1"/>
        <v>0</v>
      </c>
      <c r="J25" s="573"/>
      <c r="K25" s="573"/>
    </row>
    <row r="26" spans="1:11" ht="12">
      <c r="A26" s="202" t="s">
        <v>452</v>
      </c>
      <c r="B26" s="171" t="s">
        <v>610</v>
      </c>
      <c r="C26" s="170">
        <v>2000000</v>
      </c>
      <c r="D26" s="170">
        <v>2000000</v>
      </c>
      <c r="E26" s="169">
        <f t="shared" si="0"/>
        <v>1</v>
      </c>
      <c r="F26" s="188">
        <f t="shared" si="1"/>
        <v>0</v>
      </c>
      <c r="J26" s="573"/>
      <c r="K26" s="573"/>
    </row>
    <row r="27" spans="1:11" ht="12">
      <c r="A27" s="202" t="s">
        <v>613</v>
      </c>
      <c r="B27" s="171" t="s">
        <v>612</v>
      </c>
      <c r="C27" s="170">
        <f>2200000+900000</f>
        <v>3100000</v>
      </c>
      <c r="D27" s="170">
        <v>2200000</v>
      </c>
      <c r="E27" s="169">
        <f aca="true" t="shared" si="2" ref="E27:E35">IF(D27=0,0,C27/D27)</f>
        <v>1.4090909090909092</v>
      </c>
      <c r="F27" s="188">
        <f aca="true" t="shared" si="3" ref="F27:F35">C27-D27</f>
        <v>900000</v>
      </c>
      <c r="J27" s="573"/>
      <c r="K27" s="573"/>
    </row>
    <row r="28" spans="1:11" ht="12">
      <c r="A28" s="202" t="s">
        <v>614</v>
      </c>
      <c r="B28" s="171" t="s">
        <v>638</v>
      </c>
      <c r="C28" s="170">
        <v>3000000</v>
      </c>
      <c r="D28" s="170">
        <v>3000000</v>
      </c>
      <c r="E28" s="169">
        <f t="shared" si="2"/>
        <v>1</v>
      </c>
      <c r="F28" s="188">
        <f t="shared" si="3"/>
        <v>0</v>
      </c>
      <c r="J28" s="573"/>
      <c r="K28" s="573"/>
    </row>
    <row r="29" spans="1:11" ht="12">
      <c r="A29" s="202" t="s">
        <v>741</v>
      </c>
      <c r="B29" s="171" t="s">
        <v>639</v>
      </c>
      <c r="C29" s="170">
        <v>1000000</v>
      </c>
      <c r="D29" s="170">
        <v>30000000</v>
      </c>
      <c r="E29" s="169">
        <f t="shared" si="2"/>
        <v>0.03333333333333333</v>
      </c>
      <c r="F29" s="188">
        <f t="shared" si="3"/>
        <v>-29000000</v>
      </c>
      <c r="J29" s="573"/>
      <c r="K29" s="573"/>
    </row>
    <row r="30" spans="1:11" ht="12">
      <c r="A30" s="202" t="s">
        <v>685</v>
      </c>
      <c r="B30" s="171" t="s">
        <v>675</v>
      </c>
      <c r="C30" s="170">
        <v>3000000</v>
      </c>
      <c r="D30" s="170">
        <v>3000000</v>
      </c>
      <c r="E30" s="169">
        <f t="shared" si="2"/>
        <v>1</v>
      </c>
      <c r="F30" s="188">
        <f t="shared" si="3"/>
        <v>0</v>
      </c>
      <c r="J30" s="573"/>
      <c r="K30" s="573"/>
    </row>
    <row r="31" spans="1:11" ht="12">
      <c r="A31" s="202" t="s">
        <v>742</v>
      </c>
      <c r="B31" s="171" t="s">
        <v>677</v>
      </c>
      <c r="C31" s="170">
        <v>20000000</v>
      </c>
      <c r="D31" s="170"/>
      <c r="E31" s="169">
        <f t="shared" si="2"/>
        <v>0</v>
      </c>
      <c r="F31" s="188">
        <f t="shared" si="3"/>
        <v>20000000</v>
      </c>
      <c r="J31" s="573"/>
      <c r="K31" s="573"/>
    </row>
    <row r="32" spans="1:11" ht="12">
      <c r="A32" s="202" t="s">
        <v>743</v>
      </c>
      <c r="B32" s="171" t="s">
        <v>686</v>
      </c>
      <c r="C32" s="170">
        <v>1000000</v>
      </c>
      <c r="D32" s="170"/>
      <c r="E32" s="169">
        <f t="shared" si="2"/>
        <v>0</v>
      </c>
      <c r="F32" s="188">
        <f t="shared" si="3"/>
        <v>1000000</v>
      </c>
      <c r="J32" s="573"/>
      <c r="K32" s="573"/>
    </row>
    <row r="33" spans="1:11" ht="12">
      <c r="A33" s="202" t="s">
        <v>745</v>
      </c>
      <c r="B33" s="171" t="s">
        <v>744</v>
      </c>
      <c r="C33" s="170">
        <v>15000000</v>
      </c>
      <c r="D33" s="170"/>
      <c r="E33" s="169">
        <f t="shared" si="2"/>
        <v>0</v>
      </c>
      <c r="F33" s="188">
        <f t="shared" si="3"/>
        <v>15000000</v>
      </c>
      <c r="J33" s="573"/>
      <c r="K33" s="573"/>
    </row>
    <row r="34" spans="1:11" ht="14.25" customHeight="1">
      <c r="A34" s="202" t="s">
        <v>676</v>
      </c>
      <c r="B34" s="171" t="s">
        <v>1276</v>
      </c>
      <c r="C34" s="170">
        <v>86621732</v>
      </c>
      <c r="D34" s="170">
        <v>10000000</v>
      </c>
      <c r="E34" s="169">
        <f t="shared" si="2"/>
        <v>8.6621732</v>
      </c>
      <c r="F34" s="188">
        <f t="shared" si="3"/>
        <v>76621732</v>
      </c>
      <c r="J34" s="573"/>
      <c r="K34" s="573"/>
    </row>
    <row r="35" spans="1:11" ht="6.75" customHeight="1">
      <c r="A35" s="204"/>
      <c r="B35" s="166"/>
      <c r="C35" s="152"/>
      <c r="D35" s="152"/>
      <c r="E35" s="164">
        <f t="shared" si="2"/>
        <v>0</v>
      </c>
      <c r="F35" s="191">
        <f t="shared" si="3"/>
        <v>0</v>
      </c>
      <c r="J35" s="573"/>
      <c r="K35" s="573"/>
    </row>
    <row r="36" spans="1:11" ht="3" customHeight="1">
      <c r="A36" s="204"/>
      <c r="B36" s="153"/>
      <c r="C36" s="592"/>
      <c r="D36" s="152"/>
      <c r="E36" s="164"/>
      <c r="F36" s="191"/>
      <c r="J36" s="573"/>
      <c r="K36" s="573"/>
    </row>
    <row r="37" spans="1:11" s="9" customFormat="1" ht="15" customHeight="1">
      <c r="A37" s="205" t="s">
        <v>1305</v>
      </c>
      <c r="B37" s="151" t="s">
        <v>463</v>
      </c>
      <c r="C37" s="161">
        <f>SUM(C39:C44)</f>
        <v>390429780</v>
      </c>
      <c r="D37" s="161">
        <f>SUM(D39:D44)</f>
        <v>225000000</v>
      </c>
      <c r="E37" s="150">
        <f aca="true" t="shared" si="4" ref="E37:E44">IF(D37=0,0,C37/D37)</f>
        <v>1.7352434666666667</v>
      </c>
      <c r="F37" s="206">
        <f aca="true" t="shared" si="5" ref="F37:F44">C37-D37</f>
        <v>165429780</v>
      </c>
      <c r="J37" s="573"/>
      <c r="K37" s="573"/>
    </row>
    <row r="38" spans="1:11" ht="14.25" customHeight="1" hidden="1">
      <c r="A38" s="192" t="s">
        <v>447</v>
      </c>
      <c r="B38" s="162"/>
      <c r="C38" s="149"/>
      <c r="D38" s="149"/>
      <c r="E38" s="148">
        <f t="shared" si="4"/>
        <v>0</v>
      </c>
      <c r="F38" s="193">
        <f t="shared" si="5"/>
        <v>0</v>
      </c>
      <c r="J38" s="573"/>
      <c r="K38" s="573"/>
    </row>
    <row r="39" spans="1:11" ht="14.25" customHeight="1">
      <c r="A39" s="192" t="s">
        <v>464</v>
      </c>
      <c r="B39" s="162" t="s">
        <v>465</v>
      </c>
      <c r="C39" s="149">
        <v>135000000</v>
      </c>
      <c r="D39" s="149">
        <v>134500000</v>
      </c>
      <c r="E39" s="148">
        <f t="shared" si="4"/>
        <v>1.003717472118959</v>
      </c>
      <c r="F39" s="193">
        <f t="shared" si="5"/>
        <v>500000</v>
      </c>
      <c r="J39" s="573"/>
      <c r="K39" s="573"/>
    </row>
    <row r="40" spans="1:11" ht="14.25" customHeight="1">
      <c r="A40" s="192" t="s">
        <v>466</v>
      </c>
      <c r="B40" s="162" t="s">
        <v>467</v>
      </c>
      <c r="C40" s="149">
        <v>90000000</v>
      </c>
      <c r="D40" s="149">
        <v>75700000</v>
      </c>
      <c r="E40" s="148">
        <f t="shared" si="4"/>
        <v>1.1889035667107002</v>
      </c>
      <c r="F40" s="193">
        <f t="shared" si="5"/>
        <v>14300000</v>
      </c>
      <c r="J40" s="573"/>
      <c r="K40" s="573"/>
    </row>
    <row r="41" spans="1:11" ht="14.25" customHeight="1">
      <c r="A41" s="192" t="s">
        <v>468</v>
      </c>
      <c r="B41" s="162" t="s">
        <v>469</v>
      </c>
      <c r="C41" s="149">
        <v>5000000</v>
      </c>
      <c r="D41" s="149">
        <v>5000000</v>
      </c>
      <c r="E41" s="148">
        <f t="shared" si="4"/>
        <v>1</v>
      </c>
      <c r="F41" s="193">
        <f t="shared" si="5"/>
        <v>0</v>
      </c>
      <c r="J41" s="573"/>
      <c r="K41" s="573"/>
    </row>
    <row r="42" spans="1:11" ht="14.25" customHeight="1">
      <c r="A42" s="192" t="s">
        <v>710</v>
      </c>
      <c r="B42" s="162" t="s">
        <v>711</v>
      </c>
      <c r="C42" s="149">
        <v>12000000</v>
      </c>
      <c r="D42" s="149">
        <v>4800000</v>
      </c>
      <c r="E42" s="148">
        <f t="shared" si="4"/>
        <v>2.5</v>
      </c>
      <c r="F42" s="193">
        <f t="shared" si="5"/>
        <v>7200000</v>
      </c>
      <c r="J42" s="573"/>
      <c r="K42" s="573"/>
    </row>
    <row r="43" spans="1:11" ht="24.75">
      <c r="A43" s="192" t="s">
        <v>712</v>
      </c>
      <c r="B43" s="162" t="s">
        <v>713</v>
      </c>
      <c r="C43" s="149">
        <v>5000000</v>
      </c>
      <c r="D43" s="149">
        <v>5000000</v>
      </c>
      <c r="E43" s="148">
        <f>IF(D43=0,0,C43/D43)</f>
        <v>1</v>
      </c>
      <c r="F43" s="193">
        <f>C43-D43</f>
        <v>0</v>
      </c>
      <c r="J43" s="573"/>
      <c r="K43" s="573"/>
    </row>
    <row r="44" spans="1:11" ht="15" customHeight="1">
      <c r="A44" s="192" t="s">
        <v>676</v>
      </c>
      <c r="B44" s="162" t="s">
        <v>1303</v>
      </c>
      <c r="C44" s="149">
        <v>143429780</v>
      </c>
      <c r="D44" s="1121"/>
      <c r="E44" s="1122">
        <f t="shared" si="4"/>
        <v>0</v>
      </c>
      <c r="F44" s="193">
        <f t="shared" si="5"/>
        <v>143429780</v>
      </c>
      <c r="J44" s="573"/>
      <c r="K44" s="573"/>
    </row>
    <row r="45" spans="1:11" ht="3" customHeight="1">
      <c r="A45" s="207"/>
      <c r="B45" s="155"/>
      <c r="C45" s="591"/>
      <c r="D45" s="163"/>
      <c r="E45" s="164"/>
      <c r="F45" s="191"/>
      <c r="J45" s="573"/>
      <c r="K45" s="573"/>
    </row>
    <row r="46" spans="1:11" s="143" customFormat="1" ht="14.25" customHeight="1">
      <c r="A46" s="464" t="s">
        <v>473</v>
      </c>
      <c r="B46" s="465" t="s">
        <v>472</v>
      </c>
      <c r="C46" s="594">
        <f>(C4-C15)/(C4-C15+C6-C37)</f>
        <v>0.6887731895596797</v>
      </c>
      <c r="D46" s="1001">
        <f>(D4-D15)/(D4-D15+D6-D37)</f>
        <v>0.7020291382154195</v>
      </c>
      <c r="E46" s="466">
        <f>IF(D46=0,0,C46/D46)</f>
        <v>0.9811176660139252</v>
      </c>
      <c r="F46" s="467"/>
      <c r="J46" s="573"/>
      <c r="K46" s="573"/>
    </row>
    <row r="47" spans="1:11" ht="1.5" customHeight="1">
      <c r="A47" s="207"/>
      <c r="B47" s="155"/>
      <c r="C47" s="591"/>
      <c r="D47" s="407"/>
      <c r="E47" s="164"/>
      <c r="F47" s="191"/>
      <c r="J47" s="573"/>
      <c r="K47" s="573"/>
    </row>
    <row r="48" spans="1:11" s="9" customFormat="1" ht="14.25" customHeight="1">
      <c r="A48" s="199" t="s">
        <v>1307</v>
      </c>
      <c r="B48" s="173" t="s">
        <v>472</v>
      </c>
      <c r="C48" s="165">
        <f>C50+C53</f>
        <v>9000000</v>
      </c>
      <c r="D48" s="165">
        <f>D50+D53</f>
        <v>3000000</v>
      </c>
      <c r="E48" s="174">
        <f>IF(D48=0,0,C48/D48)</f>
        <v>3</v>
      </c>
      <c r="F48" s="208">
        <f>C48-D48</f>
        <v>6000000</v>
      </c>
      <c r="J48" s="573"/>
      <c r="K48" s="573"/>
    </row>
    <row r="49" spans="1:11" s="9" customFormat="1" ht="12.75" customHeight="1" hidden="1">
      <c r="A49" s="207" t="s">
        <v>447</v>
      </c>
      <c r="B49" s="173"/>
      <c r="C49" s="165"/>
      <c r="D49" s="165"/>
      <c r="E49" s="174"/>
      <c r="F49" s="208"/>
      <c r="J49" s="573"/>
      <c r="K49" s="573"/>
    </row>
    <row r="50" spans="1:11" ht="12">
      <c r="A50" s="207" t="s">
        <v>678</v>
      </c>
      <c r="B50" s="155" t="s">
        <v>746</v>
      </c>
      <c r="C50" s="591">
        <v>3000000</v>
      </c>
      <c r="D50" s="591">
        <v>3000000</v>
      </c>
      <c r="E50" s="164">
        <f aca="true" t="shared" si="6" ref="E50:E59">IF(D50=0,0,C50/D50)</f>
        <v>1</v>
      </c>
      <c r="F50" s="191">
        <f aca="true" t="shared" si="7" ref="F50:F59">C50-D50</f>
        <v>0</v>
      </c>
      <c r="H50" s="9"/>
      <c r="J50" s="573"/>
      <c r="K50" s="573"/>
    </row>
    <row r="51" spans="1:11" s="143" customFormat="1" ht="14.25" customHeight="1">
      <c r="A51" s="408" t="s">
        <v>616</v>
      </c>
      <c r="B51" s="409" t="s">
        <v>746</v>
      </c>
      <c r="C51" s="587">
        <f>ROUND(C50*C$46,-3)</f>
        <v>2066000</v>
      </c>
      <c r="D51" s="587">
        <f>ROUND(D50*D$46,-3)</f>
        <v>2106000</v>
      </c>
      <c r="E51" s="410">
        <f t="shared" si="6"/>
        <v>0.9810066476733144</v>
      </c>
      <c r="F51" s="411">
        <f t="shared" si="7"/>
        <v>-40000</v>
      </c>
      <c r="J51" s="573"/>
      <c r="K51" s="573"/>
    </row>
    <row r="52" spans="1:11" s="143" customFormat="1" ht="14.25" customHeight="1">
      <c r="A52" s="412" t="s">
        <v>615</v>
      </c>
      <c r="B52" s="413" t="s">
        <v>746</v>
      </c>
      <c r="C52" s="593">
        <f>C50-C51</f>
        <v>934000</v>
      </c>
      <c r="D52" s="593">
        <f>D50-D51</f>
        <v>894000</v>
      </c>
      <c r="E52" s="414">
        <f t="shared" si="6"/>
        <v>1.0447427293064877</v>
      </c>
      <c r="F52" s="415">
        <f t="shared" si="7"/>
        <v>40000</v>
      </c>
      <c r="J52" s="573"/>
      <c r="K52" s="573"/>
    </row>
    <row r="53" spans="1:11" ht="14.25" customHeight="1">
      <c r="A53" s="207" t="s">
        <v>1308</v>
      </c>
      <c r="B53" s="155" t="s">
        <v>747</v>
      </c>
      <c r="C53" s="591">
        <v>6000000</v>
      </c>
      <c r="D53" s="163"/>
      <c r="E53" s="164">
        <f t="shared" si="6"/>
        <v>0</v>
      </c>
      <c r="F53" s="191">
        <f t="shared" si="7"/>
        <v>6000000</v>
      </c>
      <c r="J53" s="573"/>
      <c r="K53" s="573"/>
    </row>
    <row r="54" spans="1:11" s="143" customFormat="1" ht="14.25" customHeight="1">
      <c r="A54" s="408" t="s">
        <v>616</v>
      </c>
      <c r="B54" s="409" t="s">
        <v>747</v>
      </c>
      <c r="C54" s="587">
        <f>ROUND(C53*C$46,-3)</f>
        <v>4133000</v>
      </c>
      <c r="D54" s="170"/>
      <c r="E54" s="410">
        <f t="shared" si="6"/>
        <v>0</v>
      </c>
      <c r="F54" s="411">
        <f t="shared" si="7"/>
        <v>4133000</v>
      </c>
      <c r="J54" s="573"/>
      <c r="K54" s="573"/>
    </row>
    <row r="55" spans="1:11" s="143" customFormat="1" ht="14.25" customHeight="1">
      <c r="A55" s="412" t="s">
        <v>615</v>
      </c>
      <c r="B55" s="413" t="s">
        <v>747</v>
      </c>
      <c r="C55" s="593">
        <f>C53-C54</f>
        <v>1867000</v>
      </c>
      <c r="D55" s="149"/>
      <c r="E55" s="414">
        <f t="shared" si="6"/>
        <v>0</v>
      </c>
      <c r="F55" s="415">
        <f t="shared" si="7"/>
        <v>1867000</v>
      </c>
      <c r="J55" s="573"/>
      <c r="K55" s="573"/>
    </row>
    <row r="56" spans="1:11" ht="3" customHeight="1">
      <c r="A56" s="207"/>
      <c r="B56" s="155"/>
      <c r="C56" s="591"/>
      <c r="D56" s="407"/>
      <c r="E56" s="164">
        <f t="shared" si="6"/>
        <v>0</v>
      </c>
      <c r="F56" s="191">
        <f t="shared" si="7"/>
        <v>0</v>
      </c>
      <c r="J56" s="573"/>
      <c r="K56" s="573"/>
    </row>
    <row r="57" spans="1:11" s="9" customFormat="1" ht="14.25" customHeight="1">
      <c r="A57" s="199" t="s">
        <v>1252</v>
      </c>
      <c r="B57" s="173" t="s">
        <v>453</v>
      </c>
      <c r="C57" s="165">
        <f>150000000-50000000</f>
        <v>100000000</v>
      </c>
      <c r="D57" s="165">
        <f>150000000-50000000</f>
        <v>100000000</v>
      </c>
      <c r="E57" s="174">
        <f t="shared" si="6"/>
        <v>1</v>
      </c>
      <c r="F57" s="208">
        <f t="shared" si="7"/>
        <v>0</v>
      </c>
      <c r="J57" s="573"/>
      <c r="K57" s="573"/>
    </row>
    <row r="58" spans="1:11" ht="14.25" customHeight="1">
      <c r="A58" s="187" t="s">
        <v>470</v>
      </c>
      <c r="B58" s="171" t="s">
        <v>453</v>
      </c>
      <c r="C58" s="170">
        <f>ROUND(C57*C$46,-3)</f>
        <v>68877000</v>
      </c>
      <c r="D58" s="170">
        <f>ROUND(D57*D$46,-3)</f>
        <v>70203000</v>
      </c>
      <c r="E58" s="169">
        <f t="shared" si="6"/>
        <v>0.98111191829409</v>
      </c>
      <c r="F58" s="188">
        <f t="shared" si="7"/>
        <v>-1326000</v>
      </c>
      <c r="J58" s="573"/>
      <c r="K58" s="573"/>
    </row>
    <row r="59" spans="1:11" ht="14.25" customHeight="1">
      <c r="A59" s="192" t="s">
        <v>471</v>
      </c>
      <c r="B59" s="162" t="s">
        <v>453</v>
      </c>
      <c r="C59" s="149">
        <f>C57-C58</f>
        <v>31123000</v>
      </c>
      <c r="D59" s="149">
        <f>D57-D58</f>
        <v>29797000</v>
      </c>
      <c r="E59" s="148">
        <f t="shared" si="6"/>
        <v>1.044501124274256</v>
      </c>
      <c r="F59" s="193">
        <f t="shared" si="7"/>
        <v>1326000</v>
      </c>
      <c r="J59" s="573"/>
      <c r="K59" s="573"/>
    </row>
    <row r="60" spans="2:11" ht="3" customHeight="1">
      <c r="B60" s="1"/>
      <c r="J60" s="573"/>
      <c r="K60" s="573"/>
    </row>
    <row r="61" spans="1:11" ht="14.25" customHeight="1">
      <c r="A61" s="199" t="s">
        <v>1242</v>
      </c>
      <c r="B61" s="1063" t="s">
        <v>1274</v>
      </c>
      <c r="C61" s="165">
        <v>76000000</v>
      </c>
      <c r="D61" s="165">
        <f>0+50000000</f>
        <v>50000000</v>
      </c>
      <c r="E61" s="174">
        <f>IF(D61=0,0,C61/D61)</f>
        <v>1.52</v>
      </c>
      <c r="F61" s="208">
        <f>C61-D61</f>
        <v>26000000</v>
      </c>
      <c r="J61" s="573"/>
      <c r="K61" s="573"/>
    </row>
    <row r="62" spans="1:11" ht="14.25" customHeight="1">
      <c r="A62" s="187" t="s">
        <v>470</v>
      </c>
      <c r="B62" s="171" t="s">
        <v>1275</v>
      </c>
      <c r="C62" s="170">
        <f>ROUND(C61*C$46,-3)</f>
        <v>52347000</v>
      </c>
      <c r="D62" s="170">
        <f>ROUND(D61*D$46,-3)</f>
        <v>35101000</v>
      </c>
      <c r="E62" s="169">
        <f>IF(D62=0,0,C62/D62)</f>
        <v>1.4913250334748298</v>
      </c>
      <c r="F62" s="188">
        <f>C62-D62</f>
        <v>17246000</v>
      </c>
      <c r="J62" s="573"/>
      <c r="K62" s="573"/>
    </row>
    <row r="63" spans="1:11" ht="14.25" customHeight="1">
      <c r="A63" s="192" t="s">
        <v>471</v>
      </c>
      <c r="B63" s="162" t="s">
        <v>1275</v>
      </c>
      <c r="C63" s="149">
        <f>C61-C62</f>
        <v>23653000</v>
      </c>
      <c r="D63" s="149">
        <f>D61-D62</f>
        <v>14899000</v>
      </c>
      <c r="E63" s="148">
        <f>IF(D63=0,0,C63/D63)</f>
        <v>1.5875562118262971</v>
      </c>
      <c r="F63" s="193">
        <f>C63-D63</f>
        <v>8754000</v>
      </c>
      <c r="J63" s="573"/>
      <c r="K63" s="573"/>
    </row>
    <row r="64" spans="1:11" s="3" customFormat="1" ht="3" customHeight="1">
      <c r="A64" s="198"/>
      <c r="B64" s="166"/>
      <c r="C64" s="592"/>
      <c r="D64" s="152"/>
      <c r="E64" s="164"/>
      <c r="F64" s="191"/>
      <c r="J64" s="573"/>
      <c r="K64" s="573"/>
    </row>
    <row r="65" spans="1:11" s="143" customFormat="1" ht="14.25" customHeight="1">
      <c r="A65" s="464" t="s">
        <v>1251</v>
      </c>
      <c r="B65" s="465"/>
      <c r="C65" s="1083">
        <f>C4+C6-C15-C37-C48-C57-C61</f>
        <v>4878682999.45097</v>
      </c>
      <c r="D65" s="1083">
        <f>D4+D6-D15-D37-D48-D57-D61</f>
        <v>4728431799.366865</v>
      </c>
      <c r="E65" s="466"/>
      <c r="F65" s="467"/>
      <c r="H65" s="1"/>
      <c r="J65" s="573"/>
      <c r="K65" s="573"/>
    </row>
    <row r="66" spans="1:11" s="142" customFormat="1" ht="1.5" customHeight="1">
      <c r="A66" s="211"/>
      <c r="B66" s="177"/>
      <c r="C66" s="595"/>
      <c r="D66" s="178"/>
      <c r="E66" s="179"/>
      <c r="F66" s="212"/>
      <c r="J66" s="573"/>
      <c r="K66" s="573"/>
    </row>
    <row r="67" spans="1:11" s="9" customFormat="1" ht="14.25" customHeight="1">
      <c r="A67" s="199" t="s">
        <v>4</v>
      </c>
      <c r="B67" s="173" t="s">
        <v>617</v>
      </c>
      <c r="C67" s="165">
        <f>ROUND(C65*B68,-3)</f>
        <v>409809000</v>
      </c>
      <c r="D67" s="165">
        <f>ROUND(D65*B68,-3)</f>
        <v>397188000</v>
      </c>
      <c r="E67" s="174">
        <f>IF(D67=0,0,C67/D67)</f>
        <v>1.0317758844678087</v>
      </c>
      <c r="F67" s="208">
        <f>C67-D67</f>
        <v>12621000</v>
      </c>
      <c r="H67" s="1"/>
      <c r="J67" s="573"/>
      <c r="K67" s="573"/>
    </row>
    <row r="68" spans="1:11" s="9" customFormat="1" ht="14.25" customHeight="1">
      <c r="A68" s="468" t="s">
        <v>629</v>
      </c>
      <c r="B68" s="469" t="s">
        <v>630</v>
      </c>
      <c r="C68" s="470"/>
      <c r="D68" s="470"/>
      <c r="E68" s="471"/>
      <c r="F68" s="472"/>
      <c r="H68" s="1"/>
      <c r="J68" s="573"/>
      <c r="K68" s="573"/>
    </row>
    <row r="69" spans="1:11" ht="14.25" customHeight="1">
      <c r="A69" s="187" t="s">
        <v>470</v>
      </c>
      <c r="B69" s="171" t="s">
        <v>1246</v>
      </c>
      <c r="C69" s="170">
        <f>ROUND(C67*C$46,-3)</f>
        <v>282265000</v>
      </c>
      <c r="D69" s="170">
        <f>ROUND(D67*D$46,-3)</f>
        <v>278838000</v>
      </c>
      <c r="E69" s="169">
        <f>IF(D69=0,0,C69/D69)</f>
        <v>1.0122902904195268</v>
      </c>
      <c r="F69" s="188">
        <f>C69-D69</f>
        <v>3427000</v>
      </c>
      <c r="J69" s="573"/>
      <c r="K69" s="573"/>
    </row>
    <row r="70" spans="1:11" ht="14.25" customHeight="1">
      <c r="A70" s="192" t="s">
        <v>471</v>
      </c>
      <c r="B70" s="162" t="s">
        <v>1247</v>
      </c>
      <c r="C70" s="149">
        <f>C67-C69</f>
        <v>127544000</v>
      </c>
      <c r="D70" s="149">
        <f>D67-D69</f>
        <v>118350000</v>
      </c>
      <c r="E70" s="148">
        <f>IF(D70=0,0,C70/D70)</f>
        <v>1.0776848331220954</v>
      </c>
      <c r="F70" s="193">
        <f>C70-D70</f>
        <v>9194000</v>
      </c>
      <c r="J70" s="573"/>
      <c r="K70" s="573"/>
    </row>
    <row r="71" spans="1:11" ht="14.25" customHeight="1" hidden="1">
      <c r="A71" s="207"/>
      <c r="B71" s="155"/>
      <c r="C71" s="591"/>
      <c r="D71" s="163"/>
      <c r="E71" s="164"/>
      <c r="F71" s="191"/>
      <c r="J71" s="573"/>
      <c r="K71" s="573"/>
    </row>
    <row r="72" spans="1:11" ht="3" customHeight="1">
      <c r="A72" s="207"/>
      <c r="B72" s="155"/>
      <c r="C72" s="591"/>
      <c r="D72" s="163"/>
      <c r="E72" s="164"/>
      <c r="F72" s="191"/>
      <c r="J72" s="573"/>
      <c r="K72" s="573"/>
    </row>
    <row r="73" spans="1:11" s="9" customFormat="1" ht="14.25" customHeight="1">
      <c r="A73" s="199" t="s">
        <v>474</v>
      </c>
      <c r="B73" s="173" t="s">
        <v>1248</v>
      </c>
      <c r="C73" s="165">
        <f>SUM(C74:C75)</f>
        <v>4000000</v>
      </c>
      <c r="D73" s="165">
        <f>SUM(D74:D75)</f>
        <v>4000000</v>
      </c>
      <c r="E73" s="174">
        <f>IF(D73=0,0,C73/D73)</f>
        <v>1</v>
      </c>
      <c r="F73" s="208">
        <f>C73-D73</f>
        <v>0</v>
      </c>
      <c r="J73" s="573"/>
      <c r="K73" s="573"/>
    </row>
    <row r="74" spans="1:11" ht="14.25" customHeight="1">
      <c r="A74" s="187" t="s">
        <v>470</v>
      </c>
      <c r="B74" s="171" t="s">
        <v>1249</v>
      </c>
      <c r="C74" s="170">
        <v>3000000</v>
      </c>
      <c r="D74" s="170">
        <v>3000000</v>
      </c>
      <c r="E74" s="169">
        <f>IF(D74=0,0,C74/D74)</f>
        <v>1</v>
      </c>
      <c r="F74" s="188">
        <f>C74-D74</f>
        <v>0</v>
      </c>
      <c r="J74" s="573"/>
      <c r="K74" s="573"/>
    </row>
    <row r="75" spans="1:11" ht="14.25" customHeight="1">
      <c r="A75" s="192" t="s">
        <v>471</v>
      </c>
      <c r="B75" s="162" t="s">
        <v>1250</v>
      </c>
      <c r="C75" s="149">
        <v>1000000</v>
      </c>
      <c r="D75" s="149">
        <v>1000000</v>
      </c>
      <c r="E75" s="148">
        <f>IF(D75=0,0,C75/D75)</f>
        <v>1</v>
      </c>
      <c r="F75" s="193">
        <f>C75-D75</f>
        <v>0</v>
      </c>
      <c r="J75" s="573"/>
      <c r="K75" s="573"/>
    </row>
    <row r="76" spans="1:11" ht="3" customHeight="1">
      <c r="A76" s="209"/>
      <c r="B76" s="176"/>
      <c r="C76" s="175"/>
      <c r="D76" s="175"/>
      <c r="E76" s="175"/>
      <c r="F76" s="210"/>
      <c r="G76" s="390"/>
      <c r="H76" s="573"/>
      <c r="J76" s="573"/>
      <c r="K76" s="573"/>
    </row>
    <row r="77" spans="1:11" s="9" customFormat="1" ht="14.25" customHeight="1">
      <c r="A77" s="213" t="s">
        <v>479</v>
      </c>
      <c r="B77" s="144" t="s">
        <v>481</v>
      </c>
      <c r="C77" s="145">
        <v>172000000</v>
      </c>
      <c r="D77" s="145">
        <v>172000000</v>
      </c>
      <c r="E77" s="146">
        <f>IF(D77=0,0,C77/D77)</f>
        <v>1</v>
      </c>
      <c r="F77" s="214">
        <f>C77-D77</f>
        <v>0</v>
      </c>
      <c r="J77" s="573"/>
      <c r="K77" s="573"/>
    </row>
    <row r="78" spans="1:11" ht="3" customHeight="1">
      <c r="A78" s="209"/>
      <c r="B78" s="176"/>
      <c r="C78" s="596"/>
      <c r="D78" s="175"/>
      <c r="E78" s="175"/>
      <c r="F78" s="210"/>
      <c r="J78" s="573"/>
      <c r="K78" s="573"/>
    </row>
    <row r="79" spans="1:11" ht="12" hidden="1">
      <c r="A79" s="199" t="s">
        <v>6</v>
      </c>
      <c r="B79" s="155"/>
      <c r="C79" s="597"/>
      <c r="D79" s="164"/>
      <c r="E79" s="164"/>
      <c r="F79" s="191"/>
      <c r="J79" s="573"/>
      <c r="K79" s="573"/>
    </row>
    <row r="80" spans="1:8" ht="14.25" customHeight="1">
      <c r="A80" s="187" t="s">
        <v>7</v>
      </c>
      <c r="B80" s="171" t="s">
        <v>475</v>
      </c>
      <c r="C80" s="168">
        <f>C4-C15-C51-C54-C58-C62-C69-C74</f>
        <v>3075041090.45097</v>
      </c>
      <c r="D80" s="168">
        <f>D4-D15-D51-D54-D58-D62-D69-D74</f>
        <v>3037659359.3668647</v>
      </c>
      <c r="E80" s="180">
        <f aca="true" t="shared" si="8" ref="E80:E86">IF(D80=0,0,C80/D80)</f>
        <v>1.0123060971167936</v>
      </c>
      <c r="F80" s="201">
        <f aca="true" t="shared" si="9" ref="F80:F86">C80-D80</f>
        <v>37381731.08410549</v>
      </c>
      <c r="G80" s="264"/>
      <c r="H80" s="22"/>
    </row>
    <row r="81" spans="1:11" ht="14.25" customHeight="1">
      <c r="A81" s="444" t="s">
        <v>684</v>
      </c>
      <c r="B81" s="445" t="s">
        <v>475</v>
      </c>
      <c r="C81" s="446">
        <v>0.75</v>
      </c>
      <c r="D81" s="446">
        <v>0.75</v>
      </c>
      <c r="E81" s="447">
        <f>IF(D81=0,0,C81/D81)</f>
        <v>1</v>
      </c>
      <c r="F81" s="448">
        <f>C81-D81</f>
        <v>0</v>
      </c>
      <c r="J81" s="573"/>
      <c r="K81" s="573"/>
    </row>
    <row r="82" spans="1:11" ht="14.25" customHeight="1">
      <c r="A82" s="215" t="s">
        <v>679</v>
      </c>
      <c r="B82" s="171" t="s">
        <v>476</v>
      </c>
      <c r="C82" s="170">
        <f>ROUND(C80*C81,0)</f>
        <v>2306280818</v>
      </c>
      <c r="D82" s="170">
        <f>ROUND(D80*D81,0)</f>
        <v>2278244520</v>
      </c>
      <c r="E82" s="182">
        <f t="shared" si="8"/>
        <v>1.0123060969768074</v>
      </c>
      <c r="F82" s="188">
        <f t="shared" si="9"/>
        <v>28036298</v>
      </c>
      <c r="J82" s="573"/>
      <c r="K82" s="573"/>
    </row>
    <row r="83" spans="1:11" ht="14.25" customHeight="1">
      <c r="A83" s="187" t="s">
        <v>680</v>
      </c>
      <c r="B83" s="171" t="s">
        <v>476</v>
      </c>
      <c r="C83" s="170">
        <f>C80-C82</f>
        <v>768760272.4509702</v>
      </c>
      <c r="D83" s="170">
        <f>D80-D82</f>
        <v>759414839.3668647</v>
      </c>
      <c r="E83" s="181">
        <f t="shared" si="8"/>
        <v>1.012306097536752</v>
      </c>
      <c r="F83" s="188">
        <f t="shared" si="9"/>
        <v>9345433.084105492</v>
      </c>
      <c r="J83" s="573"/>
      <c r="K83" s="573"/>
    </row>
    <row r="84" spans="1:11" ht="3" customHeight="1">
      <c r="A84" s="198"/>
      <c r="B84" s="166"/>
      <c r="C84" s="592"/>
      <c r="D84" s="152"/>
      <c r="E84" s="185">
        <f t="shared" si="8"/>
        <v>0</v>
      </c>
      <c r="F84" s="191">
        <f t="shared" si="9"/>
        <v>0</v>
      </c>
      <c r="H84" s="573"/>
      <c r="J84" s="573"/>
      <c r="K84" s="573"/>
    </row>
    <row r="85" spans="1:11" ht="14.25" customHeight="1">
      <c r="A85" s="192" t="s">
        <v>477</v>
      </c>
      <c r="B85" s="183" t="s">
        <v>478</v>
      </c>
      <c r="C85" s="161">
        <f>C6-C37-C52-C55-C59-C63-C70-C75</f>
        <v>1389832909</v>
      </c>
      <c r="D85" s="161">
        <f>D6-D37-D52-D55-D59-D63-D70-D75</f>
        <v>1289584440</v>
      </c>
      <c r="E85" s="184">
        <f t="shared" si="8"/>
        <v>1.0777370336447298</v>
      </c>
      <c r="F85" s="206">
        <f t="shared" si="9"/>
        <v>100248469</v>
      </c>
      <c r="G85" s="575"/>
      <c r="J85" s="573"/>
      <c r="K85" s="573"/>
    </row>
    <row r="86" spans="1:11" ht="14.25" customHeight="1">
      <c r="A86" s="194" t="s">
        <v>480</v>
      </c>
      <c r="B86" s="147" t="s">
        <v>482</v>
      </c>
      <c r="C86" s="145">
        <f>C8-C77</f>
        <v>122705706</v>
      </c>
      <c r="D86" s="145">
        <f>D8-D77</f>
        <v>115393312</v>
      </c>
      <c r="E86" s="146">
        <f t="shared" si="8"/>
        <v>1.0633693051465583</v>
      </c>
      <c r="F86" s="214">
        <f t="shared" si="9"/>
        <v>7312394</v>
      </c>
      <c r="G86" s="575"/>
      <c r="J86" s="573"/>
      <c r="K86" s="573"/>
    </row>
    <row r="87" spans="1:11" ht="3.75" customHeight="1">
      <c r="A87" s="1013"/>
      <c r="B87" s="1014"/>
      <c r="C87" s="1015"/>
      <c r="D87" s="1016"/>
      <c r="E87" s="1017"/>
      <c r="F87" s="1018"/>
      <c r="J87" s="573"/>
      <c r="K87" s="573"/>
    </row>
    <row r="88" spans="1:11" ht="12.75" customHeight="1">
      <c r="A88" s="1003" t="s">
        <v>1304</v>
      </c>
      <c r="B88" s="1004"/>
      <c r="C88" s="1005">
        <v>16526000</v>
      </c>
      <c r="D88" s="1005">
        <v>13066000</v>
      </c>
      <c r="E88" s="1006">
        <f>IF(D88=0,0,C88/D88)</f>
        <v>1.2648094290525027</v>
      </c>
      <c r="F88" s="1007">
        <f>C88-D88</f>
        <v>3460000</v>
      </c>
      <c r="J88" s="573"/>
      <c r="K88" s="573"/>
    </row>
    <row r="89" spans="1:6" ht="3.75" customHeight="1" thickBot="1">
      <c r="A89" s="1008"/>
      <c r="B89" s="1009"/>
      <c r="C89" s="1010"/>
      <c r="D89" s="1010"/>
      <c r="E89" s="1011"/>
      <c r="F89" s="1012"/>
    </row>
    <row r="90" ht="4.5" customHeight="1"/>
    <row r="92" ht="12.75" customHeight="1">
      <c r="B92" s="1"/>
    </row>
    <row r="93" ht="12.75" customHeight="1">
      <c r="B93" s="1"/>
    </row>
    <row r="94" ht="12.75" customHeight="1">
      <c r="B94" s="1"/>
    </row>
    <row r="95" spans="3:6" ht="12.75" customHeight="1">
      <c r="C95" s="573"/>
      <c r="D95" s="573"/>
      <c r="F95" s="573"/>
    </row>
    <row r="96" spans="3:6" ht="12.75" customHeight="1">
      <c r="C96" s="573"/>
      <c r="D96" s="573"/>
      <c r="F96" s="573"/>
    </row>
    <row r="98" spans="3:6" ht="12.75" customHeight="1">
      <c r="C98" s="573"/>
      <c r="D98" s="573"/>
      <c r="F98" s="573"/>
    </row>
    <row r="100" ht="12.75" customHeight="1">
      <c r="F100" s="573"/>
    </row>
  </sheetData>
  <sheetProtection/>
  <printOptions horizontalCentered="1" verticalCentered="1"/>
  <pageMargins left="0.7086614173228347" right="0.7086614173228347" top="0.5511811023622047" bottom="0.4724409448818898" header="0.07874015748031496" footer="0.4724409448818898"/>
  <pageSetup fitToHeight="0" horizontalDpi="600" verticalDpi="600" orientation="portrait" paperSize="8" scale="62" r:id="rId1"/>
  <headerFooter alignWithMargins="0">
    <oddHeader>&amp;C&amp;18&amp;A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E24"/>
  <sheetViews>
    <sheetView showZeros="0" workbookViewId="0" topLeftCell="A1">
      <selection activeCell="A53" sqref="A53"/>
    </sheetView>
  </sheetViews>
  <sheetFormatPr defaultColWidth="9.33203125" defaultRowHeight="9.75" customHeight="1"/>
  <cols>
    <col min="1" max="1" width="5.33203125" style="1" customWidth="1"/>
    <col min="2" max="2" width="12.66015625" style="1" customWidth="1"/>
    <col min="3" max="3" width="12.66015625" style="0" bestFit="1" customWidth="1"/>
    <col min="4" max="4" width="15.5" style="0" bestFit="1" customWidth="1"/>
    <col min="5" max="5" width="17.66015625" style="0" bestFit="1" customWidth="1"/>
  </cols>
  <sheetData>
    <row r="2" spans="1:5" ht="19.5" customHeight="1">
      <c r="A2" s="1227" t="s">
        <v>732</v>
      </c>
      <c r="B2" s="1228"/>
      <c r="C2" s="1226" t="s">
        <v>690</v>
      </c>
      <c r="D2" s="1226" t="s">
        <v>773</v>
      </c>
      <c r="E2" s="1225" t="s">
        <v>399</v>
      </c>
    </row>
    <row r="3" spans="1:5" ht="27" customHeight="1">
      <c r="A3" s="1229"/>
      <c r="B3" s="1230"/>
      <c r="C3" s="1226"/>
      <c r="D3" s="1226"/>
      <c r="E3" s="1225"/>
    </row>
    <row r="4" spans="1:5" ht="12" customHeight="1">
      <c r="A4" s="312" t="s">
        <v>376</v>
      </c>
      <c r="B4" s="313" t="s">
        <v>371</v>
      </c>
      <c r="C4" s="453">
        <f>'1.5.a) RUV'!D4</f>
        <v>0</v>
      </c>
      <c r="D4" s="453">
        <f>'1.5.b) Výkon váhy'!AM8</f>
        <v>3756631</v>
      </c>
      <c r="E4" s="454">
        <f>SUM(C4:D4)</f>
        <v>3756631</v>
      </c>
    </row>
    <row r="5" spans="1:5" ht="12" customHeight="1">
      <c r="A5" s="312" t="s">
        <v>377</v>
      </c>
      <c r="B5" s="313" t="s">
        <v>68</v>
      </c>
      <c r="C5" s="453">
        <f>'1.5.a) RUV'!D5</f>
        <v>0</v>
      </c>
      <c r="D5" s="453">
        <f>'1.5.b) Výkon váhy'!AM9</f>
        <v>5774642</v>
      </c>
      <c r="E5" s="454">
        <f aca="true" t="shared" si="0" ref="E5:E21">SUM(C5:D5)</f>
        <v>5774642</v>
      </c>
    </row>
    <row r="6" spans="1:5" ht="12" customHeight="1">
      <c r="A6" s="312" t="s">
        <v>378</v>
      </c>
      <c r="B6" s="313" t="s">
        <v>372</v>
      </c>
      <c r="C6" s="453">
        <f>'1.5.a) RUV'!D6</f>
        <v>0</v>
      </c>
      <c r="D6" s="453">
        <f>'1.5.b) Výkon váhy'!AM10</f>
        <v>3510431</v>
      </c>
      <c r="E6" s="454">
        <f t="shared" si="0"/>
        <v>3510431</v>
      </c>
    </row>
    <row r="7" spans="1:5" ht="12" customHeight="1">
      <c r="A7" s="312" t="s">
        <v>379</v>
      </c>
      <c r="B7" s="313" t="s">
        <v>42</v>
      </c>
      <c r="C7" s="453">
        <f>'1.5.a) RUV'!D7</f>
        <v>0</v>
      </c>
      <c r="D7" s="453">
        <f>'1.5.b) Výkon váhy'!AM11</f>
        <v>35722145</v>
      </c>
      <c r="E7" s="454">
        <f t="shared" si="0"/>
        <v>35722145</v>
      </c>
    </row>
    <row r="8" spans="1:5" ht="12" customHeight="1">
      <c r="A8" s="312" t="s">
        <v>380</v>
      </c>
      <c r="B8" s="313" t="s">
        <v>8</v>
      </c>
      <c r="C8" s="453">
        <f>'1.5.a) RUV'!D8</f>
        <v>0</v>
      </c>
      <c r="D8" s="453">
        <f>'1.5.b) Výkon váhy'!AM12</f>
        <v>81595868</v>
      </c>
      <c r="E8" s="454">
        <f t="shared" si="0"/>
        <v>81595868</v>
      </c>
    </row>
    <row r="9" spans="1:5" ht="12" customHeight="1">
      <c r="A9" s="312" t="s">
        <v>381</v>
      </c>
      <c r="B9" s="313" t="s">
        <v>22</v>
      </c>
      <c r="C9" s="453">
        <f>'1.5.a) RUV'!D9</f>
        <v>0</v>
      </c>
      <c r="D9" s="453">
        <f>'1.5.b) Výkon váhy'!AM13</f>
        <v>36388084</v>
      </c>
      <c r="E9" s="454">
        <f t="shared" si="0"/>
        <v>36388084</v>
      </c>
    </row>
    <row r="10" spans="1:5" ht="12" customHeight="1">
      <c r="A10" s="312" t="s">
        <v>382</v>
      </c>
      <c r="B10" s="313" t="s">
        <v>21</v>
      </c>
      <c r="C10" s="453">
        <f>'1.5.a) RUV'!D10</f>
        <v>0</v>
      </c>
      <c r="D10" s="453">
        <f>'1.5.b) Výkon váhy'!AM14</f>
        <v>36517480</v>
      </c>
      <c r="E10" s="454">
        <f t="shared" si="0"/>
        <v>36517480</v>
      </c>
    </row>
    <row r="11" spans="1:5" ht="12" customHeight="1">
      <c r="A11" s="312" t="s">
        <v>383</v>
      </c>
      <c r="B11" s="313" t="s">
        <v>23</v>
      </c>
      <c r="C11" s="453">
        <f>'1.5.a) RUV'!D11</f>
        <v>0</v>
      </c>
      <c r="D11" s="453">
        <f>'1.5.b) Výkon váhy'!AM15</f>
        <v>28451800</v>
      </c>
      <c r="E11" s="454">
        <f t="shared" si="0"/>
        <v>28451800</v>
      </c>
    </row>
    <row r="12" spans="1:5" ht="12" customHeight="1">
      <c r="A12" s="312" t="s">
        <v>384</v>
      </c>
      <c r="B12" s="313" t="s">
        <v>24</v>
      </c>
      <c r="C12" s="453">
        <f>'1.5.a) RUV'!D12</f>
        <v>0</v>
      </c>
      <c r="D12" s="453">
        <f>'1.5.b) Výkon váhy'!AM16</f>
        <v>27562258</v>
      </c>
      <c r="E12" s="454">
        <f t="shared" si="0"/>
        <v>27562258</v>
      </c>
    </row>
    <row r="13" spans="1:5" ht="12" customHeight="1">
      <c r="A13" s="312" t="s">
        <v>385</v>
      </c>
      <c r="B13" s="313" t="s">
        <v>31</v>
      </c>
      <c r="C13" s="453">
        <f>'1.5.a) RUV'!D13</f>
        <v>0</v>
      </c>
      <c r="D13" s="453">
        <f>'1.5.b) Výkon váhy'!AM17</f>
        <v>24323057</v>
      </c>
      <c r="E13" s="454">
        <f t="shared" si="0"/>
        <v>24323057</v>
      </c>
    </row>
    <row r="14" spans="1:5" ht="12" customHeight="1">
      <c r="A14" s="312" t="s">
        <v>386</v>
      </c>
      <c r="B14" s="313" t="s">
        <v>37</v>
      </c>
      <c r="C14" s="453">
        <f>'1.5.a) RUV'!D14</f>
        <v>3688576</v>
      </c>
      <c r="D14" s="453">
        <f>'1.5.b) Výkon váhy'!AM18</f>
        <v>101235878</v>
      </c>
      <c r="E14" s="454">
        <f t="shared" si="0"/>
        <v>104924454</v>
      </c>
    </row>
    <row r="15" spans="1:5" s="1" customFormat="1" ht="12" customHeight="1">
      <c r="A15" s="312" t="s">
        <v>387</v>
      </c>
      <c r="B15" s="313" t="s">
        <v>72</v>
      </c>
      <c r="C15" s="453">
        <f>'1.5.a) RUV'!D15</f>
        <v>0</v>
      </c>
      <c r="D15" s="453">
        <f>'1.5.b) Výkon váhy'!AM19</f>
        <v>112930405</v>
      </c>
      <c r="E15" s="454">
        <f t="shared" si="0"/>
        <v>112930405</v>
      </c>
    </row>
    <row r="16" spans="1:5" ht="12" customHeight="1">
      <c r="A16" s="312" t="s">
        <v>388</v>
      </c>
      <c r="B16" s="313" t="s">
        <v>81</v>
      </c>
      <c r="C16" s="453">
        <f>'1.5.a) RUV'!D16</f>
        <v>4258</v>
      </c>
      <c r="D16" s="453">
        <f>'1.5.b) Výkon váhy'!AM20</f>
        <v>117325780</v>
      </c>
      <c r="E16" s="454">
        <f t="shared" si="0"/>
        <v>117330038</v>
      </c>
    </row>
    <row r="17" spans="1:5" ht="12" customHeight="1">
      <c r="A17" s="312" t="s">
        <v>389</v>
      </c>
      <c r="B17" s="313" t="s">
        <v>87</v>
      </c>
      <c r="C17" s="453">
        <f>'1.5.a) RUV'!D17</f>
        <v>1280710</v>
      </c>
      <c r="D17" s="453">
        <f>'1.5.b) Výkon váhy'!AM21</f>
        <v>24213498</v>
      </c>
      <c r="E17" s="454">
        <f t="shared" si="0"/>
        <v>25494208</v>
      </c>
    </row>
    <row r="18" spans="1:5" ht="12" customHeight="1">
      <c r="A18" s="312" t="s">
        <v>390</v>
      </c>
      <c r="B18" s="313" t="s">
        <v>45</v>
      </c>
      <c r="C18" s="453">
        <f>'1.5.a) RUV'!D18</f>
        <v>584513</v>
      </c>
      <c r="D18" s="453">
        <f>'1.5.b) Výkon váhy'!AM22</f>
        <v>81306522</v>
      </c>
      <c r="E18" s="454">
        <f t="shared" si="0"/>
        <v>81891035</v>
      </c>
    </row>
    <row r="19" spans="1:5" ht="12" customHeight="1">
      <c r="A19" s="312" t="s">
        <v>391</v>
      </c>
      <c r="B19" s="313" t="s">
        <v>94</v>
      </c>
      <c r="C19" s="453">
        <f>'1.5.a) RUV'!D19</f>
        <v>0</v>
      </c>
      <c r="D19" s="453">
        <f>'1.5.b) Výkon váhy'!AM23</f>
        <v>13001049</v>
      </c>
      <c r="E19" s="454">
        <f t="shared" si="0"/>
        <v>13001049</v>
      </c>
    </row>
    <row r="20" spans="1:5" ht="12" customHeight="1">
      <c r="A20" s="312" t="s">
        <v>392</v>
      </c>
      <c r="B20" s="313" t="s">
        <v>58</v>
      </c>
      <c r="C20" s="453">
        <f>'1.5.a) RUV'!D20</f>
        <v>479231</v>
      </c>
      <c r="D20" s="453">
        <f>'1.5.b) Výkon váhy'!AM24</f>
        <v>23994113</v>
      </c>
      <c r="E20" s="454">
        <f t="shared" si="0"/>
        <v>24473344</v>
      </c>
    </row>
    <row r="21" spans="1:5" ht="12" customHeight="1">
      <c r="A21" s="312" t="s">
        <v>393</v>
      </c>
      <c r="B21" s="313" t="s">
        <v>373</v>
      </c>
      <c r="C21" s="453">
        <f>'1.5.a) RUV'!D21</f>
        <v>0</v>
      </c>
      <c r="D21" s="453">
        <f>'1.5.b) Výkon váhy'!AM25</f>
        <v>5113343.450970173</v>
      </c>
      <c r="E21" s="454">
        <f t="shared" si="0"/>
        <v>5113343.450970173</v>
      </c>
    </row>
    <row r="22" spans="1:5" ht="12" customHeight="1">
      <c r="A22" s="299" t="s">
        <v>395</v>
      </c>
      <c r="B22" s="300"/>
      <c r="C22" s="455">
        <f>SUM(C4:C21)</f>
        <v>6037288</v>
      </c>
      <c r="D22" s="455">
        <f>SUM(D4:D21)</f>
        <v>762722984.4509702</v>
      </c>
      <c r="E22" s="456">
        <f>SUM(E4:E21)</f>
        <v>768760272.4509702</v>
      </c>
    </row>
    <row r="23" spans="1:5" ht="9.75" customHeight="1">
      <c r="A23" s="5"/>
      <c r="B23" s="5"/>
      <c r="C23" s="385"/>
      <c r="D23" s="385"/>
      <c r="E23" s="452">
        <f>Bilance!C83</f>
        <v>768760272.4509702</v>
      </c>
    </row>
    <row r="24" spans="1:5" ht="9.75" customHeight="1">
      <c r="A24" s="5"/>
      <c r="B24" s="5"/>
      <c r="C24" s="385"/>
      <c r="D24" s="385"/>
      <c r="E24" s="1133">
        <f>E23-E22</f>
        <v>0</v>
      </c>
    </row>
  </sheetData>
  <sheetProtection/>
  <mergeCells count="4">
    <mergeCell ref="E2:E3"/>
    <mergeCell ref="C2:C3"/>
    <mergeCell ref="D2:D3"/>
    <mergeCell ref="A2:B3"/>
  </mergeCells>
  <printOptions horizontalCentered="1"/>
  <pageMargins left="0.7480314960629921" right="0.7480314960629921" top="1.220472440944882" bottom="0.984251968503937" header="0.5118110236220472" footer="0.5118110236220472"/>
  <pageSetup horizontalDpi="600" verticalDpi="600" orientation="landscape" paperSize="9" scale="110" r:id="rId1"/>
  <headerFooter alignWithMargins="0">
    <oddHeader>&amp;C&amp;14&amp;A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9"/>
  <sheetViews>
    <sheetView showZeros="0" workbookViewId="0" topLeftCell="A1">
      <selection activeCell="A53" sqref="A53"/>
    </sheetView>
  </sheetViews>
  <sheetFormatPr defaultColWidth="9.33203125" defaultRowHeight="9.75" customHeight="1"/>
  <cols>
    <col min="1" max="1" width="7.66015625" style="0" customWidth="1"/>
    <col min="2" max="2" width="16.83203125" style="0" customWidth="1"/>
    <col min="3" max="3" width="14.83203125" style="0" bestFit="1" customWidth="1"/>
    <col min="4" max="4" width="13.16015625" style="0" bestFit="1" customWidth="1"/>
    <col min="5" max="5" width="19" style="0" customWidth="1"/>
  </cols>
  <sheetData>
    <row r="3" spans="1:5" ht="46.5" customHeight="1">
      <c r="A3" s="1231" t="s">
        <v>732</v>
      </c>
      <c r="B3" s="1232"/>
      <c r="C3" s="487" t="s">
        <v>691</v>
      </c>
      <c r="D3" s="487" t="s">
        <v>692</v>
      </c>
      <c r="E3" s="488" t="s">
        <v>1271</v>
      </c>
    </row>
    <row r="4" spans="1:5" ht="12.75" customHeight="1">
      <c r="A4" s="312" t="s">
        <v>376</v>
      </c>
      <c r="B4" s="313" t="s">
        <v>371</v>
      </c>
      <c r="C4" s="489">
        <f>'1.3 Fix'!P4</f>
        <v>25036670</v>
      </c>
      <c r="D4" s="489">
        <f>'1.5 Výkon celkem'!E4</f>
        <v>3756631</v>
      </c>
      <c r="E4" s="490">
        <f aca="true" t="shared" si="0" ref="E4:E22">SUM(C4:D4)</f>
        <v>28793301</v>
      </c>
    </row>
    <row r="5" spans="1:5" ht="12.75" customHeight="1">
      <c r="A5" s="312" t="s">
        <v>377</v>
      </c>
      <c r="B5" s="313" t="s">
        <v>68</v>
      </c>
      <c r="C5" s="489">
        <f>'1.3 Fix'!P5</f>
        <v>15613602</v>
      </c>
      <c r="D5" s="489">
        <f>'1.5 Výkon celkem'!E5</f>
        <v>5774642</v>
      </c>
      <c r="E5" s="490">
        <f t="shared" si="0"/>
        <v>21388244</v>
      </c>
    </row>
    <row r="6" spans="1:5" ht="12.75" customHeight="1">
      <c r="A6" s="312" t="s">
        <v>378</v>
      </c>
      <c r="B6" s="313" t="s">
        <v>372</v>
      </c>
      <c r="C6" s="489">
        <f>'1.3 Fix'!P6</f>
        <v>31988284</v>
      </c>
      <c r="D6" s="489">
        <f>'1.5 Výkon celkem'!E6</f>
        <v>3510431</v>
      </c>
      <c r="E6" s="490">
        <f t="shared" si="0"/>
        <v>35498715</v>
      </c>
    </row>
    <row r="7" spans="1:5" ht="12.75" customHeight="1">
      <c r="A7" s="312" t="s">
        <v>379</v>
      </c>
      <c r="B7" s="313" t="s">
        <v>42</v>
      </c>
      <c r="C7" s="489">
        <f>'1.3 Fix'!P7</f>
        <v>119938239</v>
      </c>
      <c r="D7" s="489">
        <f>'1.5 Výkon celkem'!E7</f>
        <v>35722145</v>
      </c>
      <c r="E7" s="490">
        <f t="shared" si="0"/>
        <v>155660384</v>
      </c>
    </row>
    <row r="8" spans="1:5" ht="12.75" customHeight="1">
      <c r="A8" s="312" t="s">
        <v>380</v>
      </c>
      <c r="B8" s="313" t="s">
        <v>8</v>
      </c>
      <c r="C8" s="489">
        <f>'1.3 Fix'!P8</f>
        <v>349053732</v>
      </c>
      <c r="D8" s="489">
        <f>'1.5 Výkon celkem'!E8</f>
        <v>81595868</v>
      </c>
      <c r="E8" s="490">
        <f t="shared" si="0"/>
        <v>430649600</v>
      </c>
    </row>
    <row r="9" spans="1:5" ht="12.75" customHeight="1">
      <c r="A9" s="312" t="s">
        <v>381</v>
      </c>
      <c r="B9" s="313" t="s">
        <v>22</v>
      </c>
      <c r="C9" s="489">
        <f>'1.3 Fix'!P9</f>
        <v>122166825</v>
      </c>
      <c r="D9" s="489">
        <f>'1.5 Výkon celkem'!E9</f>
        <v>36388084</v>
      </c>
      <c r="E9" s="490">
        <f t="shared" si="0"/>
        <v>158554909</v>
      </c>
    </row>
    <row r="10" spans="1:5" ht="12.75" customHeight="1">
      <c r="A10" s="312" t="s">
        <v>382</v>
      </c>
      <c r="B10" s="313" t="s">
        <v>21</v>
      </c>
      <c r="C10" s="489">
        <f>'1.3 Fix'!P10</f>
        <v>139638564</v>
      </c>
      <c r="D10" s="489">
        <f>'1.5 Výkon celkem'!E10</f>
        <v>36517480</v>
      </c>
      <c r="E10" s="490">
        <f t="shared" si="0"/>
        <v>176156044</v>
      </c>
    </row>
    <row r="11" spans="1:5" ht="12.75" customHeight="1">
      <c r="A11" s="312" t="s">
        <v>383</v>
      </c>
      <c r="B11" s="313" t="s">
        <v>23</v>
      </c>
      <c r="C11" s="489">
        <f>'1.3 Fix'!P11</f>
        <v>149654193</v>
      </c>
      <c r="D11" s="489">
        <f>'1.5 Výkon celkem'!E11</f>
        <v>28451800</v>
      </c>
      <c r="E11" s="490">
        <f t="shared" si="0"/>
        <v>178105993</v>
      </c>
    </row>
    <row r="12" spans="1:5" ht="12.75" customHeight="1">
      <c r="A12" s="312" t="s">
        <v>384</v>
      </c>
      <c r="B12" s="313" t="s">
        <v>24</v>
      </c>
      <c r="C12" s="489">
        <f>'1.3 Fix'!P12</f>
        <v>125667848</v>
      </c>
      <c r="D12" s="489">
        <f>'1.5 Výkon celkem'!E12</f>
        <v>27562258</v>
      </c>
      <c r="E12" s="490">
        <f t="shared" si="0"/>
        <v>153230106</v>
      </c>
    </row>
    <row r="13" spans="1:5" ht="12.75" customHeight="1">
      <c r="A13" s="312" t="s">
        <v>385</v>
      </c>
      <c r="B13" s="313" t="s">
        <v>31</v>
      </c>
      <c r="C13" s="489">
        <f>'1.3 Fix'!P13</f>
        <v>108510013</v>
      </c>
      <c r="D13" s="489">
        <f>'1.5 Výkon celkem'!E13</f>
        <v>24323057</v>
      </c>
      <c r="E13" s="490">
        <f t="shared" si="0"/>
        <v>132833070</v>
      </c>
    </row>
    <row r="14" spans="1:5" ht="12.75" customHeight="1">
      <c r="A14" s="312" t="s">
        <v>386</v>
      </c>
      <c r="B14" s="313" t="s">
        <v>37</v>
      </c>
      <c r="C14" s="489">
        <f>'1.3 Fix'!P14</f>
        <v>179364501</v>
      </c>
      <c r="D14" s="489">
        <f>'1.5 Výkon celkem'!E14</f>
        <v>104924454</v>
      </c>
      <c r="E14" s="490">
        <f t="shared" si="0"/>
        <v>284288955</v>
      </c>
    </row>
    <row r="15" spans="1:8" s="1" customFormat="1" ht="12.75" customHeight="1">
      <c r="A15" s="312" t="s">
        <v>387</v>
      </c>
      <c r="B15" s="313" t="s">
        <v>72</v>
      </c>
      <c r="C15" s="489">
        <f>'1.3 Fix'!P15</f>
        <v>305720066</v>
      </c>
      <c r="D15" s="697">
        <f>'1.5 Výkon celkem'!E15</f>
        <v>112930405</v>
      </c>
      <c r="E15" s="698">
        <f t="shared" si="0"/>
        <v>418650471</v>
      </c>
      <c r="H15"/>
    </row>
    <row r="16" spans="1:5" ht="12.75" customHeight="1">
      <c r="A16" s="312" t="s">
        <v>388</v>
      </c>
      <c r="B16" s="313" t="s">
        <v>81</v>
      </c>
      <c r="C16" s="489">
        <f>'1.3 Fix'!P16</f>
        <v>151027769</v>
      </c>
      <c r="D16" s="489">
        <f>'1.5 Výkon celkem'!E16</f>
        <v>117330038</v>
      </c>
      <c r="E16" s="490">
        <f t="shared" si="0"/>
        <v>268357807</v>
      </c>
    </row>
    <row r="17" spans="1:5" ht="12.75" customHeight="1">
      <c r="A17" s="312" t="s">
        <v>389</v>
      </c>
      <c r="B17" s="313" t="s">
        <v>87</v>
      </c>
      <c r="C17" s="489">
        <f>'1.3 Fix'!P17</f>
        <v>170457102</v>
      </c>
      <c r="D17" s="489">
        <f>'1.5 Výkon celkem'!E17</f>
        <v>25494208</v>
      </c>
      <c r="E17" s="490">
        <f t="shared" si="0"/>
        <v>195951310</v>
      </c>
    </row>
    <row r="18" spans="1:5" ht="12.75" customHeight="1">
      <c r="A18" s="312" t="s">
        <v>390</v>
      </c>
      <c r="B18" s="313" t="s">
        <v>45</v>
      </c>
      <c r="C18" s="489">
        <f>'1.3 Fix'!P18</f>
        <v>133006620</v>
      </c>
      <c r="D18" s="489">
        <f>'1.5 Výkon celkem'!E18</f>
        <v>81891035</v>
      </c>
      <c r="E18" s="490">
        <f t="shared" si="0"/>
        <v>214897655</v>
      </c>
    </row>
    <row r="19" spans="1:5" ht="12.75" customHeight="1">
      <c r="A19" s="312" t="s">
        <v>391</v>
      </c>
      <c r="B19" s="313" t="s">
        <v>94</v>
      </c>
      <c r="C19" s="489">
        <f>'1.3 Fix'!P19</f>
        <v>101550006</v>
      </c>
      <c r="D19" s="489">
        <f>'1.5 Výkon celkem'!E19</f>
        <v>13001049</v>
      </c>
      <c r="E19" s="490">
        <f t="shared" si="0"/>
        <v>114551055</v>
      </c>
    </row>
    <row r="20" spans="1:5" ht="12.75" customHeight="1">
      <c r="A20" s="312" t="s">
        <v>392</v>
      </c>
      <c r="B20" s="313" t="s">
        <v>58</v>
      </c>
      <c r="C20" s="489">
        <f>'1.3 Fix'!P20</f>
        <v>73132858</v>
      </c>
      <c r="D20" s="489">
        <f>'1.5 Výkon celkem'!E20</f>
        <v>24473344</v>
      </c>
      <c r="E20" s="490">
        <f t="shared" si="0"/>
        <v>97606202</v>
      </c>
    </row>
    <row r="21" spans="1:5" ht="12.75" customHeight="1">
      <c r="A21" s="312" t="s">
        <v>393</v>
      </c>
      <c r="B21" s="313" t="s">
        <v>373</v>
      </c>
      <c r="C21" s="489">
        <f>'1.3 Fix'!P21</f>
        <v>4753926</v>
      </c>
      <c r="D21" s="489">
        <f>'1.5 Výkon celkem'!E21</f>
        <v>5113343.450970173</v>
      </c>
      <c r="E21" s="490">
        <f t="shared" si="0"/>
        <v>9867269.450970173</v>
      </c>
    </row>
    <row r="22" spans="1:5" ht="12.75" customHeight="1">
      <c r="A22" s="299" t="s">
        <v>400</v>
      </c>
      <c r="B22" s="315"/>
      <c r="C22" s="491">
        <f>SUM(C4:C21)</f>
        <v>2306280818</v>
      </c>
      <c r="D22" s="491">
        <f>SUM(D4:D21)</f>
        <v>768760272.4509702</v>
      </c>
      <c r="E22" s="492">
        <f t="shared" si="0"/>
        <v>3075041090.45097</v>
      </c>
    </row>
    <row r="23" spans="1:5" ht="12.75" customHeight="1">
      <c r="A23" s="30"/>
      <c r="B23" s="31"/>
      <c r="C23" s="10"/>
      <c r="D23" s="10"/>
      <c r="E23" s="32"/>
    </row>
    <row r="24" spans="1:5" s="6" customFormat="1" ht="12.75" customHeight="1">
      <c r="A24" s="928" t="s">
        <v>401</v>
      </c>
      <c r="B24" s="929" t="s">
        <v>402</v>
      </c>
      <c r="C24" s="930"/>
      <c r="D24" s="930"/>
      <c r="E24" s="931">
        <f aca="true" t="shared" si="1" ref="E24:E35">SUM(C24:D24)</f>
        <v>0</v>
      </c>
    </row>
    <row r="25" spans="1:5" s="6" customFormat="1" ht="12.75" customHeight="1">
      <c r="A25" s="932" t="s">
        <v>403</v>
      </c>
      <c r="B25" s="493" t="s">
        <v>404</v>
      </c>
      <c r="C25" s="494"/>
      <c r="D25" s="494"/>
      <c r="E25" s="933">
        <f t="shared" si="1"/>
        <v>0</v>
      </c>
    </row>
    <row r="26" spans="1:5" s="6" customFormat="1" ht="12.75" customHeight="1">
      <c r="A26" s="934" t="s">
        <v>405</v>
      </c>
      <c r="B26" s="495" t="s">
        <v>406</v>
      </c>
      <c r="C26" s="496"/>
      <c r="D26" s="496"/>
      <c r="E26" s="935">
        <f t="shared" si="1"/>
        <v>0</v>
      </c>
    </row>
    <row r="27" spans="1:5" s="6" customFormat="1" ht="12.75" customHeight="1">
      <c r="A27" s="934"/>
      <c r="B27" s="498" t="s">
        <v>407</v>
      </c>
      <c r="C27" s="497"/>
      <c r="D27" s="497"/>
      <c r="E27" s="935">
        <f t="shared" si="1"/>
        <v>0</v>
      </c>
    </row>
    <row r="28" spans="1:5" s="6" customFormat="1" ht="12.75" customHeight="1">
      <c r="A28" s="934"/>
      <c r="B28" s="498" t="s">
        <v>408</v>
      </c>
      <c r="C28" s="497"/>
      <c r="D28" s="497"/>
      <c r="E28" s="935">
        <f t="shared" si="1"/>
        <v>0</v>
      </c>
    </row>
    <row r="29" spans="1:5" s="6" customFormat="1" ht="12.75" customHeight="1">
      <c r="A29" s="934"/>
      <c r="B29" s="498" t="s">
        <v>409</v>
      </c>
      <c r="C29" s="497"/>
      <c r="D29" s="497"/>
      <c r="E29" s="935">
        <f t="shared" si="1"/>
        <v>0</v>
      </c>
    </row>
    <row r="30" spans="1:5" s="6" customFormat="1" ht="12.75" customHeight="1">
      <c r="A30" s="934"/>
      <c r="B30" s="498" t="s">
        <v>411</v>
      </c>
      <c r="C30" s="497"/>
      <c r="D30" s="497"/>
      <c r="E30" s="935">
        <f t="shared" si="1"/>
        <v>0</v>
      </c>
    </row>
    <row r="31" spans="1:5" s="6" customFormat="1" ht="12.75" customHeight="1">
      <c r="A31" s="934"/>
      <c r="B31" s="498" t="s">
        <v>412</v>
      </c>
      <c r="C31" s="497"/>
      <c r="D31" s="497"/>
      <c r="E31" s="935">
        <f t="shared" si="1"/>
        <v>0</v>
      </c>
    </row>
    <row r="32" spans="1:5" s="6" customFormat="1" ht="12.75" customHeight="1">
      <c r="A32" s="934"/>
      <c r="B32" s="498" t="s">
        <v>413</v>
      </c>
      <c r="C32" s="497"/>
      <c r="D32" s="497"/>
      <c r="E32" s="935">
        <f t="shared" si="1"/>
        <v>0</v>
      </c>
    </row>
    <row r="33" spans="1:5" s="6" customFormat="1" ht="12.75" customHeight="1">
      <c r="A33" s="932" t="s">
        <v>414</v>
      </c>
      <c r="B33" s="499" t="s">
        <v>415</v>
      </c>
      <c r="C33" s="497"/>
      <c r="D33" s="496"/>
      <c r="E33" s="936">
        <f t="shared" si="1"/>
        <v>0</v>
      </c>
    </row>
    <row r="34" spans="1:5" s="6" customFormat="1" ht="12.75" customHeight="1">
      <c r="A34" s="932" t="s">
        <v>416</v>
      </c>
      <c r="B34" s="500" t="s">
        <v>417</v>
      </c>
      <c r="C34" s="497"/>
      <c r="D34" s="496"/>
      <c r="E34" s="936">
        <f t="shared" si="1"/>
        <v>0</v>
      </c>
    </row>
    <row r="35" spans="1:5" s="6" customFormat="1" ht="12.75" customHeight="1">
      <c r="A35" s="932" t="s">
        <v>570</v>
      </c>
      <c r="B35" s="500" t="s">
        <v>571</v>
      </c>
      <c r="C35" s="497"/>
      <c r="D35" s="496"/>
      <c r="E35" s="936">
        <f t="shared" si="1"/>
        <v>0</v>
      </c>
    </row>
    <row r="36" spans="1:5" s="6" customFormat="1" ht="12.75" customHeight="1">
      <c r="A36" s="932" t="s">
        <v>649</v>
      </c>
      <c r="B36" s="500" t="s">
        <v>410</v>
      </c>
      <c r="C36" s="497"/>
      <c r="D36" s="496"/>
      <c r="E36" s="936"/>
    </row>
    <row r="37" spans="1:5" ht="12.75" customHeight="1">
      <c r="A37" s="937" t="s">
        <v>375</v>
      </c>
      <c r="B37" s="938"/>
      <c r="C37" s="939">
        <f>C22+C24+C25+SUM(C33:C36)</f>
        <v>2306280818</v>
      </c>
      <c r="D37" s="939">
        <f>D22+D24+D25+SUM(D33:D36)</f>
        <v>768760272.4509702</v>
      </c>
      <c r="E37" s="940">
        <f>E22+E24+E25+SUM(E33:E36)</f>
        <v>3075041090.45097</v>
      </c>
    </row>
    <row r="38" spans="1:5" ht="9.75" customHeight="1">
      <c r="A38" s="37"/>
      <c r="B38" s="38" t="s">
        <v>418</v>
      </c>
      <c r="C38" s="39"/>
      <c r="D38" s="39"/>
      <c r="E38" s="457">
        <f>Bilance!C80</f>
        <v>3075041090.45097</v>
      </c>
    </row>
    <row r="39" ht="9.75" customHeight="1">
      <c r="E39" s="7">
        <f>E38-E37</f>
        <v>0</v>
      </c>
    </row>
  </sheetData>
  <sheetProtection/>
  <mergeCells count="1">
    <mergeCell ref="A3:B3"/>
  </mergeCells>
  <printOptions/>
  <pageMargins left="0.5905511811023623" right="0.5511811023622047" top="0.9055118110236221" bottom="0.5905511811023623" header="0.3937007874015748" footer="0.5118110236220472"/>
  <pageSetup fitToHeight="1" fitToWidth="1" horizontalDpi="600" verticalDpi="600" orientation="landscape" paperSize="9" r:id="rId1"/>
  <headerFooter alignWithMargins="0">
    <oddHeader>&amp;C&amp;14&amp;A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85"/>
  <sheetViews>
    <sheetView showZeros="0" workbookViewId="0" topLeftCell="A1">
      <selection activeCell="A53" sqref="A53"/>
    </sheetView>
  </sheetViews>
  <sheetFormatPr defaultColWidth="9.33203125" defaultRowHeight="9.75" customHeight="1"/>
  <cols>
    <col min="1" max="1" width="5.33203125" style="1" customWidth="1"/>
    <col min="2" max="2" width="28" style="1" customWidth="1"/>
    <col min="3" max="3" width="15" style="1" bestFit="1" customWidth="1"/>
    <col min="4" max="4" width="10.5" style="1" bestFit="1" customWidth="1"/>
    <col min="5" max="5" width="15" style="1" bestFit="1" customWidth="1"/>
    <col min="6" max="6" width="13.33203125" style="1" customWidth="1"/>
    <col min="7" max="7" width="15" style="1" bestFit="1" customWidth="1"/>
    <col min="8" max="8" width="10.5" style="1" bestFit="1" customWidth="1"/>
    <col min="9" max="9" width="30.5" style="1" bestFit="1" customWidth="1"/>
    <col min="10" max="10" width="13.16015625" style="42" bestFit="1" customWidth="1"/>
    <col min="11" max="12" width="9.33203125" style="1" customWidth="1"/>
    <col min="13" max="13" width="14.33203125" style="1" customWidth="1"/>
    <col min="14" max="16" width="9.33203125" style="1" customWidth="1"/>
    <col min="17" max="17" width="2.16015625" style="1" customWidth="1"/>
    <col min="18" max="16384" width="9.33203125" style="1" customWidth="1"/>
  </cols>
  <sheetData>
    <row r="1" ht="14.25">
      <c r="A1" s="576" t="s">
        <v>693</v>
      </c>
    </row>
    <row r="2" ht="14.25">
      <c r="A2" s="576"/>
    </row>
    <row r="3" spans="3:10" ht="18">
      <c r="C3" s="1233">
        <v>2019</v>
      </c>
      <c r="D3" s="1233"/>
      <c r="E3" s="1079">
        <v>2020</v>
      </c>
      <c r="F3" s="42"/>
      <c r="J3" s="1"/>
    </row>
    <row r="4" spans="1:10" ht="47.25" customHeight="1">
      <c r="A4" s="1231" t="s">
        <v>732</v>
      </c>
      <c r="B4" s="1232"/>
      <c r="C4" s="579" t="s">
        <v>1265</v>
      </c>
      <c r="D4" s="579" t="s">
        <v>1245</v>
      </c>
      <c r="E4" s="580" t="s">
        <v>1289</v>
      </c>
      <c r="F4" s="389"/>
      <c r="J4" s="1"/>
    </row>
    <row r="5" spans="1:21" ht="10.5">
      <c r="A5" s="33" t="s">
        <v>376</v>
      </c>
      <c r="B5" s="41" t="s">
        <v>371</v>
      </c>
      <c r="C5" s="1066">
        <v>6704476</v>
      </c>
      <c r="D5" s="578">
        <f>C5/C$38</f>
        <v>0.005305043880568991</v>
      </c>
      <c r="E5" s="964">
        <f aca="true" t="shared" si="0" ref="E5:E22">ROUND(C$45*D5,0)</f>
        <v>7225662</v>
      </c>
      <c r="F5" s="293" t="s">
        <v>371</v>
      </c>
      <c r="I5" s="42"/>
      <c r="J5" s="1"/>
      <c r="N5" s="1059"/>
      <c r="O5" s="1059"/>
      <c r="P5" s="1059"/>
      <c r="S5" s="1059"/>
      <c r="T5" s="1059"/>
      <c r="U5" s="1059"/>
    </row>
    <row r="6" spans="1:21" ht="10.5">
      <c r="A6" s="33" t="s">
        <v>377</v>
      </c>
      <c r="B6" s="41" t="s">
        <v>68</v>
      </c>
      <c r="C6" s="1066">
        <v>6393781</v>
      </c>
      <c r="D6" s="578">
        <f aca="true" t="shared" si="1" ref="D6:D22">C6/C$38</f>
        <v>0.005059200565077462</v>
      </c>
      <c r="E6" s="964">
        <f t="shared" si="0"/>
        <v>6890815</v>
      </c>
      <c r="F6" s="293" t="s">
        <v>68</v>
      </c>
      <c r="I6" s="42"/>
      <c r="J6" s="1"/>
      <c r="N6" s="1059"/>
      <c r="O6" s="1059"/>
      <c r="P6" s="1059"/>
      <c r="S6" s="1059"/>
      <c r="T6" s="1059"/>
      <c r="U6" s="1059"/>
    </row>
    <row r="7" spans="1:21" ht="10.5">
      <c r="A7" s="33" t="s">
        <v>378</v>
      </c>
      <c r="B7" s="41" t="s">
        <v>372</v>
      </c>
      <c r="C7" s="1066">
        <v>3664143</v>
      </c>
      <c r="D7" s="578">
        <f t="shared" si="1"/>
        <v>0.002899322691240852</v>
      </c>
      <c r="E7" s="964">
        <f t="shared" si="0"/>
        <v>3948983</v>
      </c>
      <c r="F7" s="293" t="s">
        <v>372</v>
      </c>
      <c r="I7" s="42"/>
      <c r="J7" s="1"/>
      <c r="N7" s="1059"/>
      <c r="O7" s="1059"/>
      <c r="P7" s="1059"/>
      <c r="S7" s="1059"/>
      <c r="T7" s="1059"/>
      <c r="U7" s="1059"/>
    </row>
    <row r="8" spans="1:21" ht="10.5">
      <c r="A8" s="33" t="s">
        <v>379</v>
      </c>
      <c r="B8" s="41" t="s">
        <v>42</v>
      </c>
      <c r="C8" s="1066">
        <v>25449754</v>
      </c>
      <c r="D8" s="578">
        <f t="shared" si="1"/>
        <v>0.020137600868387954</v>
      </c>
      <c r="E8" s="964">
        <f t="shared" si="0"/>
        <v>27428142</v>
      </c>
      <c r="F8" s="293" t="s">
        <v>42</v>
      </c>
      <c r="I8" s="42"/>
      <c r="J8" s="1"/>
      <c r="N8" s="1059"/>
      <c r="O8" s="1059"/>
      <c r="P8" s="1059"/>
      <c r="S8" s="1059"/>
      <c r="T8" s="1059"/>
      <c r="U8" s="1059"/>
    </row>
    <row r="9" spans="1:21" ht="9.75">
      <c r="A9" s="33" t="s">
        <v>380</v>
      </c>
      <c r="B9" s="41" t="s">
        <v>8</v>
      </c>
      <c r="C9" s="1066">
        <v>126182095</v>
      </c>
      <c r="D9" s="578">
        <f t="shared" si="1"/>
        <v>0.09984397750355509</v>
      </c>
      <c r="E9" s="964">
        <f t="shared" si="0"/>
        <v>135991117</v>
      </c>
      <c r="F9" s="293" t="s">
        <v>8</v>
      </c>
      <c r="I9" s="42"/>
      <c r="J9" s="1"/>
      <c r="N9" s="1059"/>
      <c r="O9" s="1059"/>
      <c r="P9" s="1059"/>
      <c r="S9" s="1059"/>
      <c r="T9" s="1059"/>
      <c r="U9" s="1059"/>
    </row>
    <row r="10" spans="1:21" ht="9.75">
      <c r="A10" s="33" t="s">
        <v>381</v>
      </c>
      <c r="B10" s="41" t="s">
        <v>22</v>
      </c>
      <c r="C10" s="1066">
        <v>55188844</v>
      </c>
      <c r="D10" s="578">
        <f t="shared" si="1"/>
        <v>0.0436692202549277</v>
      </c>
      <c r="E10" s="964">
        <f t="shared" si="0"/>
        <v>59479061</v>
      </c>
      <c r="F10" s="293" t="s">
        <v>22</v>
      </c>
      <c r="I10" s="42"/>
      <c r="J10" s="1"/>
      <c r="N10" s="1059"/>
      <c r="O10" s="1059"/>
      <c r="P10" s="1059"/>
      <c r="S10" s="1059"/>
      <c r="T10" s="1059"/>
      <c r="U10" s="1059"/>
    </row>
    <row r="11" spans="1:21" ht="9.75">
      <c r="A11" s="33" t="s">
        <v>382</v>
      </c>
      <c r="B11" s="41" t="s">
        <v>21</v>
      </c>
      <c r="C11" s="1066">
        <v>61394190</v>
      </c>
      <c r="D11" s="578">
        <f t="shared" si="1"/>
        <v>0.048579318049910225</v>
      </c>
      <c r="E11" s="964">
        <f t="shared" si="0"/>
        <v>66166792</v>
      </c>
      <c r="F11" s="293" t="s">
        <v>21</v>
      </c>
      <c r="I11" s="42"/>
      <c r="J11" s="1"/>
      <c r="N11" s="1059"/>
      <c r="O11" s="1059"/>
      <c r="P11" s="1059"/>
      <c r="S11" s="1059"/>
      <c r="T11" s="1059"/>
      <c r="U11" s="1059"/>
    </row>
    <row r="12" spans="1:21" ht="9.75">
      <c r="A12" s="33" t="s">
        <v>383</v>
      </c>
      <c r="B12" s="41" t="s">
        <v>23</v>
      </c>
      <c r="C12" s="1066">
        <v>29026595</v>
      </c>
      <c r="D12" s="578">
        <f t="shared" si="1"/>
        <v>0.022967844195206973</v>
      </c>
      <c r="E12" s="964">
        <f t="shared" si="0"/>
        <v>31283036</v>
      </c>
      <c r="F12" s="293" t="s">
        <v>23</v>
      </c>
      <c r="I12" s="42"/>
      <c r="J12" s="1"/>
      <c r="N12" s="1059"/>
      <c r="O12" s="1059"/>
      <c r="P12" s="1059"/>
      <c r="S12" s="1059"/>
      <c r="T12" s="1059"/>
      <c r="U12" s="1059"/>
    </row>
    <row r="13" spans="1:21" ht="9.75">
      <c r="A13" s="33" t="s">
        <v>384</v>
      </c>
      <c r="B13" s="41" t="s">
        <v>24</v>
      </c>
      <c r="C13" s="1066">
        <v>36114237</v>
      </c>
      <c r="D13" s="578">
        <f t="shared" si="1"/>
        <v>0.028576075445458857</v>
      </c>
      <c r="E13" s="964">
        <f t="shared" si="0"/>
        <v>38921651</v>
      </c>
      <c r="F13" s="293" t="s">
        <v>24</v>
      </c>
      <c r="I13" s="42"/>
      <c r="J13" s="1"/>
      <c r="N13" s="1059"/>
      <c r="O13" s="1059"/>
      <c r="P13" s="1059"/>
      <c r="S13" s="1059"/>
      <c r="T13" s="1059"/>
      <c r="U13" s="1059"/>
    </row>
    <row r="14" spans="1:21" ht="9.75">
      <c r="A14" s="33" t="s">
        <v>385</v>
      </c>
      <c r="B14" s="41" t="s">
        <v>31</v>
      </c>
      <c r="C14" s="1066">
        <v>52982947</v>
      </c>
      <c r="D14" s="578">
        <f t="shared" si="1"/>
        <v>0.041923762387524564</v>
      </c>
      <c r="E14" s="964">
        <f t="shared" si="0"/>
        <v>57101684</v>
      </c>
      <c r="F14" s="293" t="s">
        <v>31</v>
      </c>
      <c r="I14" s="42"/>
      <c r="J14" s="1"/>
      <c r="N14" s="1059"/>
      <c r="O14" s="1059"/>
      <c r="P14" s="1059"/>
      <c r="S14" s="1059"/>
      <c r="T14" s="1059"/>
      <c r="U14" s="1059"/>
    </row>
    <row r="15" spans="1:21" ht="9.75">
      <c r="A15" s="33" t="s">
        <v>386</v>
      </c>
      <c r="B15" s="41" t="s">
        <v>37</v>
      </c>
      <c r="C15" s="1066">
        <v>108909152</v>
      </c>
      <c r="D15" s="578">
        <f t="shared" si="1"/>
        <v>0.08617643352822175</v>
      </c>
      <c r="E15" s="964">
        <f t="shared" si="0"/>
        <v>117375426</v>
      </c>
      <c r="F15" s="293" t="s">
        <v>37</v>
      </c>
      <c r="I15" s="42"/>
      <c r="J15" s="1"/>
      <c r="N15" s="1059"/>
      <c r="O15" s="1059"/>
      <c r="P15" s="1059"/>
      <c r="S15" s="1059"/>
      <c r="T15" s="1059"/>
      <c r="U15" s="1059"/>
    </row>
    <row r="16" spans="1:21" ht="9.75">
      <c r="A16" s="33" t="s">
        <v>387</v>
      </c>
      <c r="B16" s="41" t="s">
        <v>72</v>
      </c>
      <c r="C16" s="1066">
        <v>283616200</v>
      </c>
      <c r="D16" s="699">
        <f t="shared" si="1"/>
        <v>0.22441670105765624</v>
      </c>
      <c r="E16" s="964">
        <f t="shared" si="0"/>
        <v>305663682</v>
      </c>
      <c r="F16" s="293" t="s">
        <v>72</v>
      </c>
      <c r="I16" s="42"/>
      <c r="J16" s="1"/>
      <c r="N16" s="1059"/>
      <c r="O16" s="1059"/>
      <c r="P16" s="1059"/>
      <c r="S16" s="1059"/>
      <c r="T16" s="1059"/>
      <c r="U16" s="1059"/>
    </row>
    <row r="17" spans="1:21" ht="9.75">
      <c r="A17" s="33" t="s">
        <v>388</v>
      </c>
      <c r="B17" s="41" t="s">
        <v>81</v>
      </c>
      <c r="C17" s="1066">
        <v>346411780</v>
      </c>
      <c r="D17" s="578">
        <f t="shared" si="1"/>
        <v>0.274104895542323</v>
      </c>
      <c r="E17" s="964">
        <f t="shared" si="0"/>
        <v>373340804</v>
      </c>
      <c r="F17" s="293" t="s">
        <v>81</v>
      </c>
      <c r="I17" s="42"/>
      <c r="J17" s="1"/>
      <c r="N17" s="1059"/>
      <c r="O17" s="1059"/>
      <c r="P17" s="1059"/>
      <c r="S17" s="1059"/>
      <c r="T17" s="1059"/>
      <c r="U17" s="1059"/>
    </row>
    <row r="18" spans="1:21" ht="9.75">
      <c r="A18" s="33" t="s">
        <v>389</v>
      </c>
      <c r="B18" s="41" t="s">
        <v>87</v>
      </c>
      <c r="C18" s="1066">
        <v>23991359</v>
      </c>
      <c r="D18" s="578">
        <f t="shared" si="1"/>
        <v>0.018983618145472336</v>
      </c>
      <c r="E18" s="964">
        <f t="shared" si="0"/>
        <v>25856376</v>
      </c>
      <c r="F18" s="293" t="s">
        <v>87</v>
      </c>
      <c r="I18" s="42"/>
      <c r="J18" s="1"/>
      <c r="N18" s="1059"/>
      <c r="O18" s="1059"/>
      <c r="P18" s="1059"/>
      <c r="S18" s="1059"/>
      <c r="T18" s="1059"/>
      <c r="U18" s="1059"/>
    </row>
    <row r="19" spans="1:21" ht="9.75">
      <c r="A19" s="33" t="s">
        <v>390</v>
      </c>
      <c r="B19" s="41" t="s">
        <v>45</v>
      </c>
      <c r="C19" s="1066">
        <v>43684815</v>
      </c>
      <c r="D19" s="578">
        <f t="shared" si="1"/>
        <v>0.034566438971448094</v>
      </c>
      <c r="E19" s="964">
        <f t="shared" si="0"/>
        <v>47080743</v>
      </c>
      <c r="F19" s="293" t="s">
        <v>45</v>
      </c>
      <c r="I19" s="42"/>
      <c r="J19" s="1"/>
      <c r="N19" s="1059"/>
      <c r="O19" s="1059"/>
      <c r="P19" s="1059"/>
      <c r="S19" s="1059"/>
      <c r="T19" s="1059"/>
      <c r="U19" s="1059"/>
    </row>
    <row r="20" spans="1:21" ht="9.75">
      <c r="A20" s="33" t="s">
        <v>391</v>
      </c>
      <c r="B20" s="41" t="s">
        <v>94</v>
      </c>
      <c r="C20" s="1066">
        <v>9828262</v>
      </c>
      <c r="D20" s="578">
        <f t="shared" si="1"/>
        <v>0.007776798840018034</v>
      </c>
      <c r="E20" s="964">
        <f t="shared" si="0"/>
        <v>10592282</v>
      </c>
      <c r="F20" s="293" t="s">
        <v>94</v>
      </c>
      <c r="I20" s="42"/>
      <c r="J20" s="1"/>
      <c r="N20" s="1059"/>
      <c r="O20" s="1059"/>
      <c r="P20" s="1059"/>
      <c r="S20" s="1059"/>
      <c r="T20" s="1059"/>
      <c r="U20" s="1059"/>
    </row>
    <row r="21" spans="1:21" ht="9.75">
      <c r="A21" s="33" t="s">
        <v>392</v>
      </c>
      <c r="B21" s="41" t="s">
        <v>58</v>
      </c>
      <c r="C21" s="1066">
        <v>22745868</v>
      </c>
      <c r="D21" s="578">
        <f t="shared" si="1"/>
        <v>0.017998099753303617</v>
      </c>
      <c r="E21" s="964">
        <f t="shared" si="0"/>
        <v>24514064</v>
      </c>
      <c r="F21" s="293" t="s">
        <v>58</v>
      </c>
      <c r="I21" s="42"/>
      <c r="J21" s="1"/>
      <c r="N21" s="1059"/>
      <c r="O21" s="1059"/>
      <c r="P21" s="1059"/>
      <c r="S21" s="1059"/>
      <c r="T21" s="1059"/>
      <c r="U21" s="1059"/>
    </row>
    <row r="22" spans="1:21" ht="9.75">
      <c r="A22" s="33" t="s">
        <v>393</v>
      </c>
      <c r="B22" s="41" t="s">
        <v>373</v>
      </c>
      <c r="C22" s="1066">
        <v>5371332</v>
      </c>
      <c r="D22" s="578">
        <f t="shared" si="1"/>
        <v>0.0042501683885667425</v>
      </c>
      <c r="E22" s="964">
        <f t="shared" si="0"/>
        <v>5788883</v>
      </c>
      <c r="F22" s="293" t="s">
        <v>373</v>
      </c>
      <c r="I22" s="42"/>
      <c r="J22" s="1"/>
      <c r="N22" s="1059"/>
      <c r="O22" s="1059"/>
      <c r="P22" s="1059"/>
      <c r="S22" s="1059"/>
      <c r="T22" s="1059"/>
      <c r="U22" s="1059"/>
    </row>
    <row r="23" spans="1:21" ht="14.25">
      <c r="A23" s="20" t="s">
        <v>395</v>
      </c>
      <c r="B23" s="21"/>
      <c r="C23" s="1067">
        <f>SUM(C5:C22)</f>
        <v>1247659830</v>
      </c>
      <c r="D23" s="577">
        <f>SUM(D5:D22)</f>
        <v>0.9872345200688684</v>
      </c>
      <c r="E23" s="458">
        <f>SUM(E5:E22)</f>
        <v>1344649203</v>
      </c>
      <c r="F23" s="390"/>
      <c r="I23" s="42"/>
      <c r="J23" s="1"/>
      <c r="K23" s="505"/>
      <c r="N23" s="1059"/>
      <c r="O23" s="1059"/>
      <c r="P23" s="1059"/>
      <c r="S23" s="1059"/>
      <c r="T23" s="1059"/>
      <c r="U23" s="1059"/>
    </row>
    <row r="24" spans="1:21" ht="9.75">
      <c r="A24" s="33"/>
      <c r="B24" s="41"/>
      <c r="C24" s="506"/>
      <c r="D24" s="506"/>
      <c r="E24" s="371"/>
      <c r="F24" s="390"/>
      <c r="I24" s="42"/>
      <c r="J24" s="1"/>
      <c r="N24" s="1059"/>
      <c r="O24" s="1059"/>
      <c r="P24" s="1059"/>
      <c r="S24" s="1059"/>
      <c r="T24" s="1059"/>
      <c r="U24" s="1059"/>
    </row>
    <row r="25" spans="1:21" ht="9.75">
      <c r="A25" s="33" t="s">
        <v>401</v>
      </c>
      <c r="B25" s="41" t="s">
        <v>402</v>
      </c>
      <c r="C25" s="506"/>
      <c r="D25" s="578">
        <f aca="true" t="shared" si="2" ref="D25:D37">C25/C$38</f>
        <v>0</v>
      </c>
      <c r="E25" s="964">
        <f>ROUND(C$45*D25,0)</f>
        <v>0</v>
      </c>
      <c r="F25" s="293" t="s">
        <v>402</v>
      </c>
      <c r="I25" s="42"/>
      <c r="J25" s="1"/>
      <c r="N25" s="1059"/>
      <c r="O25" s="1059"/>
      <c r="P25" s="1059"/>
      <c r="S25" s="1059"/>
      <c r="T25" s="1059"/>
      <c r="U25" s="1059"/>
    </row>
    <row r="26" spans="1:21" ht="9.75">
      <c r="A26" s="33" t="s">
        <v>403</v>
      </c>
      <c r="B26" s="41" t="s">
        <v>419</v>
      </c>
      <c r="C26" s="1066">
        <f>SUM(C27:C33)</f>
        <v>16132921</v>
      </c>
      <c r="D26" s="578">
        <f t="shared" si="2"/>
        <v>0.012765479931131524</v>
      </c>
      <c r="E26" s="964">
        <f>SUM(E27:E33)</f>
        <v>17387048</v>
      </c>
      <c r="F26" s="293"/>
      <c r="I26" s="42"/>
      <c r="J26" s="1"/>
      <c r="N26" s="1059"/>
      <c r="O26" s="1059"/>
      <c r="P26" s="1059"/>
      <c r="S26" s="1059"/>
      <c r="T26" s="1059"/>
      <c r="U26" s="1059"/>
    </row>
    <row r="27" spans="1:21" ht="9.75">
      <c r="A27" s="44" t="s">
        <v>405</v>
      </c>
      <c r="B27" s="1071" t="s">
        <v>606</v>
      </c>
      <c r="C27" s="1066"/>
      <c r="D27" s="578"/>
      <c r="E27" s="965"/>
      <c r="F27" s="611" t="s">
        <v>406</v>
      </c>
      <c r="J27" s="1"/>
      <c r="N27" s="1059"/>
      <c r="O27" s="1059"/>
      <c r="P27" s="1059"/>
      <c r="S27" s="1059"/>
      <c r="T27" s="1059"/>
      <c r="U27" s="1059"/>
    </row>
    <row r="28" spans="1:21" ht="9.75">
      <c r="A28" s="44"/>
      <c r="B28" s="1071" t="s">
        <v>407</v>
      </c>
      <c r="C28" s="1066">
        <v>6837884</v>
      </c>
      <c r="D28" s="578">
        <f t="shared" si="2"/>
        <v>0.005410605492545668</v>
      </c>
      <c r="E28" s="964">
        <f>ROUND(C$45*D28,0)</f>
        <v>7369441</v>
      </c>
      <c r="F28" s="611" t="s">
        <v>407</v>
      </c>
      <c r="J28" s="1"/>
      <c r="N28" s="1059"/>
      <c r="O28" s="1059"/>
      <c r="P28" s="1059"/>
      <c r="S28" s="1059"/>
      <c r="T28" s="1059"/>
      <c r="U28" s="1059"/>
    </row>
    <row r="29" spans="1:21" ht="9.75">
      <c r="A29" s="44"/>
      <c r="B29" s="1071" t="s">
        <v>408</v>
      </c>
      <c r="C29" s="1066">
        <v>6407823</v>
      </c>
      <c r="D29" s="578">
        <f t="shared" si="2"/>
        <v>0.005070311564083343</v>
      </c>
      <c r="E29" s="964">
        <f>ROUND(C$45*D29,0)</f>
        <v>6905948</v>
      </c>
      <c r="F29" s="611" t="s">
        <v>408</v>
      </c>
      <c r="J29" s="1"/>
      <c r="N29" s="1059"/>
      <c r="O29" s="1059"/>
      <c r="P29" s="1059"/>
      <c r="S29" s="1059"/>
      <c r="T29" s="1059"/>
      <c r="U29" s="1059"/>
    </row>
    <row r="30" spans="1:21" ht="9.75">
      <c r="A30" s="44"/>
      <c r="B30" s="1071" t="s">
        <v>409</v>
      </c>
      <c r="C30" s="1066">
        <v>0</v>
      </c>
      <c r="D30" s="578">
        <f t="shared" si="2"/>
        <v>0</v>
      </c>
      <c r="E30" s="964">
        <f>ROUND(C$45*D30,0)</f>
        <v>0</v>
      </c>
      <c r="F30" s="611" t="s">
        <v>409</v>
      </c>
      <c r="J30" s="1"/>
      <c r="N30" s="1059"/>
      <c r="O30" s="1059"/>
      <c r="P30" s="1059"/>
      <c r="S30" s="1059"/>
      <c r="T30" s="1059"/>
      <c r="U30" s="1059"/>
    </row>
    <row r="31" spans="1:21" ht="9.75">
      <c r="A31" s="44"/>
      <c r="B31" s="1071" t="s">
        <v>1266</v>
      </c>
      <c r="C31" s="1066">
        <v>2887214</v>
      </c>
      <c r="D31" s="578">
        <f>C31/C$38</f>
        <v>0.002284562874502514</v>
      </c>
      <c r="E31" s="964">
        <f>ROUND(C$45*D31,0)+2</f>
        <v>3111659</v>
      </c>
      <c r="F31" s="611" t="s">
        <v>411</v>
      </c>
      <c r="J31" s="1"/>
      <c r="N31" s="1059"/>
      <c r="O31" s="1059"/>
      <c r="P31" s="1059"/>
      <c r="S31" s="1059"/>
      <c r="T31" s="1059"/>
      <c r="U31" s="1059"/>
    </row>
    <row r="32" spans="1:21" ht="9.75">
      <c r="A32" s="44"/>
      <c r="B32" s="1071" t="s">
        <v>1267</v>
      </c>
      <c r="C32" s="506"/>
      <c r="D32" s="578"/>
      <c r="E32" s="965"/>
      <c r="F32" s="611" t="s">
        <v>412</v>
      </c>
      <c r="J32" s="1"/>
      <c r="N32" s="1059"/>
      <c r="O32" s="1059"/>
      <c r="P32" s="1059"/>
      <c r="S32" s="1059"/>
      <c r="T32" s="1059"/>
      <c r="U32" s="1059"/>
    </row>
    <row r="33" spans="1:21" ht="9.75">
      <c r="A33" s="44"/>
      <c r="B33" s="1071" t="s">
        <v>413</v>
      </c>
      <c r="C33" s="507">
        <v>0</v>
      </c>
      <c r="D33" s="578">
        <f t="shared" si="2"/>
        <v>0</v>
      </c>
      <c r="E33" s="964">
        <f>ROUND(C$45*D33,0)</f>
        <v>0</v>
      </c>
      <c r="F33" s="611" t="s">
        <v>413</v>
      </c>
      <c r="J33" s="1"/>
      <c r="N33" s="1059"/>
      <c r="O33" s="1059"/>
      <c r="P33" s="1059"/>
      <c r="S33" s="1059"/>
      <c r="T33" s="1059"/>
      <c r="U33" s="1059"/>
    </row>
    <row r="34" spans="1:21" ht="9.75">
      <c r="A34" s="33" t="s">
        <v>414</v>
      </c>
      <c r="B34" s="41" t="s">
        <v>415</v>
      </c>
      <c r="C34" s="506"/>
      <c r="D34" s="578">
        <f t="shared" si="2"/>
        <v>0</v>
      </c>
      <c r="E34" s="964">
        <f>ROUND(C$45*D34,0)</f>
        <v>0</v>
      </c>
      <c r="F34" s="293" t="s">
        <v>415</v>
      </c>
      <c r="I34" s="42"/>
      <c r="J34" s="1"/>
      <c r="N34" s="1059"/>
      <c r="O34" s="1059"/>
      <c r="P34" s="1059"/>
      <c r="S34" s="1059"/>
      <c r="T34" s="1059"/>
      <c r="U34" s="1059"/>
    </row>
    <row r="35" spans="1:21" ht="9.75">
      <c r="A35" s="33" t="s">
        <v>416</v>
      </c>
      <c r="B35" s="41" t="s">
        <v>417</v>
      </c>
      <c r="C35" s="506"/>
      <c r="D35" s="578">
        <f t="shared" si="2"/>
        <v>0</v>
      </c>
      <c r="E35" s="964">
        <f>ROUND(C$45*D35,0)</f>
        <v>0</v>
      </c>
      <c r="F35" s="293" t="s">
        <v>417</v>
      </c>
      <c r="I35" s="42"/>
      <c r="J35" s="1"/>
      <c r="N35" s="1059"/>
      <c r="O35" s="1059"/>
      <c r="P35" s="1059"/>
      <c r="S35" s="1059"/>
      <c r="T35" s="1059"/>
      <c r="U35" s="1059"/>
    </row>
    <row r="36" spans="1:21" ht="9.75">
      <c r="A36" s="33" t="s">
        <v>570</v>
      </c>
      <c r="B36" s="41" t="s">
        <v>571</v>
      </c>
      <c r="C36" s="506"/>
      <c r="D36" s="578">
        <f t="shared" si="2"/>
        <v>0</v>
      </c>
      <c r="E36" s="964">
        <f>ROUND(C$45*D36,0)</f>
        <v>0</v>
      </c>
      <c r="F36" s="293" t="s">
        <v>571</v>
      </c>
      <c r="I36" s="42"/>
      <c r="J36" s="1"/>
      <c r="N36" s="1059"/>
      <c r="O36" s="1059"/>
      <c r="P36" s="1059"/>
      <c r="S36" s="1059"/>
      <c r="T36" s="1059"/>
      <c r="U36" s="1059"/>
    </row>
    <row r="37" spans="1:21" ht="9.75">
      <c r="A37" s="33" t="s">
        <v>649</v>
      </c>
      <c r="B37" s="41" t="s">
        <v>410</v>
      </c>
      <c r="C37" s="506"/>
      <c r="D37" s="578">
        <f t="shared" si="2"/>
        <v>0</v>
      </c>
      <c r="E37" s="964">
        <f>ROUND(C$45*D37,0)</f>
        <v>0</v>
      </c>
      <c r="F37" s="293" t="s">
        <v>410</v>
      </c>
      <c r="I37" s="42"/>
      <c r="J37" s="1"/>
      <c r="N37" s="1059"/>
      <c r="O37" s="1059"/>
      <c r="P37" s="1059"/>
      <c r="S37" s="1059"/>
      <c r="T37" s="1059"/>
      <c r="U37" s="1059"/>
    </row>
    <row r="38" spans="1:21" ht="9.75">
      <c r="A38" s="15" t="s">
        <v>375</v>
      </c>
      <c r="B38" s="41"/>
      <c r="C38" s="1067">
        <f>C23+C25+C26+SUM(C34:C37)</f>
        <v>1263792751</v>
      </c>
      <c r="D38" s="577">
        <f>D23+D25+D26+D34+D35+D36+D37</f>
        <v>0.9999999999999999</v>
      </c>
      <c r="E38" s="372">
        <f>E23+E25+E26+SUM(E34:E37)</f>
        <v>1362036251</v>
      </c>
      <c r="F38" s="1081">
        <f>E38-C45</f>
        <v>0</v>
      </c>
      <c r="H38" s="22"/>
      <c r="J38" s="1"/>
      <c r="N38" s="1059"/>
      <c r="O38" s="1059"/>
      <c r="P38" s="1059"/>
      <c r="S38" s="1059"/>
      <c r="T38" s="1059"/>
      <c r="U38" s="1059"/>
    </row>
    <row r="40" ht="9.75">
      <c r="A40"/>
    </row>
    <row r="41" spans="1:10" s="9" customFormat="1" ht="9.75">
      <c r="A41" s="1"/>
      <c r="B41" s="1"/>
      <c r="C41" s="1"/>
      <c r="D41" s="1"/>
      <c r="E41" s="1"/>
      <c r="F41" s="1"/>
      <c r="G41" s="1"/>
      <c r="H41" s="1"/>
      <c r="I41" s="1"/>
      <c r="J41" s="42"/>
    </row>
    <row r="42" spans="1:10" ht="9.75">
      <c r="A42" s="581" t="s">
        <v>420</v>
      </c>
      <c r="B42" s="582"/>
      <c r="C42" s="370">
        <f>Bilance!C85</f>
        <v>1389832909</v>
      </c>
      <c r="E42" s="42"/>
      <c r="J42" s="1"/>
    </row>
    <row r="43" spans="1:10" ht="9.75">
      <c r="A43" s="586" t="s">
        <v>673</v>
      </c>
      <c r="B43" s="585"/>
      <c r="C43" s="1080">
        <v>0.02</v>
      </c>
      <c r="E43" s="42"/>
      <c r="J43" s="1"/>
    </row>
    <row r="44" spans="1:10" ht="9.75">
      <c r="A44" s="583" t="s">
        <v>674</v>
      </c>
      <c r="B44" s="584"/>
      <c r="C44" s="316">
        <f>ROUND(C42*C43,0)</f>
        <v>27796658</v>
      </c>
      <c r="E44" s="42"/>
      <c r="J44" s="1"/>
    </row>
    <row r="45" spans="1:10" ht="9.75">
      <c r="A45" s="583" t="s">
        <v>593</v>
      </c>
      <c r="B45" s="584"/>
      <c r="C45" s="316">
        <f>C42-C44</f>
        <v>1362036251</v>
      </c>
      <c r="E45" s="42"/>
      <c r="J45" s="1"/>
    </row>
    <row r="47" ht="9.75" customHeight="1">
      <c r="I47" s="22"/>
    </row>
    <row r="51" ht="9.75" customHeight="1">
      <c r="J51" s="1"/>
    </row>
    <row r="52" ht="9.75" customHeight="1">
      <c r="J52" s="1"/>
    </row>
    <row r="53" ht="9.75" customHeight="1">
      <c r="J53" s="1"/>
    </row>
    <row r="54" ht="9.75" customHeight="1">
      <c r="J54" s="1"/>
    </row>
    <row r="55" ht="9.75" customHeight="1">
      <c r="J55" s="1"/>
    </row>
    <row r="56" ht="9.75" customHeight="1">
      <c r="J56" s="1"/>
    </row>
    <row r="57" ht="9.75" customHeight="1">
      <c r="J57" s="1"/>
    </row>
    <row r="58" ht="9.75" customHeight="1">
      <c r="J58" s="1"/>
    </row>
    <row r="59" ht="9.75" customHeight="1">
      <c r="J59" s="1"/>
    </row>
    <row r="60" ht="9.75" customHeight="1">
      <c r="J60" s="1"/>
    </row>
    <row r="61" ht="9.75" customHeight="1">
      <c r="J61" s="1"/>
    </row>
    <row r="62" ht="9.75" customHeight="1">
      <c r="J62" s="1"/>
    </row>
    <row r="63" ht="9.75" customHeight="1">
      <c r="J63" s="1"/>
    </row>
    <row r="64" ht="9.75" customHeight="1">
      <c r="J64" s="1"/>
    </row>
    <row r="65" ht="9.75" customHeight="1">
      <c r="J65" s="1"/>
    </row>
    <row r="66" ht="9.75" customHeight="1">
      <c r="J66" s="1"/>
    </row>
    <row r="67" ht="9.75" customHeight="1">
      <c r="J67" s="1"/>
    </row>
    <row r="68" ht="9.75" customHeight="1">
      <c r="J68" s="1"/>
    </row>
    <row r="69" ht="9.75" customHeight="1">
      <c r="J69" s="1"/>
    </row>
    <row r="70" ht="9.75" customHeight="1">
      <c r="J70" s="1"/>
    </row>
    <row r="71" ht="9.75" customHeight="1">
      <c r="J71" s="1"/>
    </row>
    <row r="72" ht="9.75" customHeight="1">
      <c r="J72" s="1"/>
    </row>
    <row r="73" ht="9.75" customHeight="1">
      <c r="J73" s="1"/>
    </row>
    <row r="74" ht="9.75" customHeight="1">
      <c r="J74" s="1"/>
    </row>
    <row r="75" ht="9.75" customHeight="1">
      <c r="J75" s="1"/>
    </row>
    <row r="76" ht="9.75" customHeight="1">
      <c r="J76" s="1"/>
    </row>
    <row r="77" ht="9.75" customHeight="1">
      <c r="J77" s="1"/>
    </row>
    <row r="78" ht="9.75" customHeight="1">
      <c r="J78" s="1"/>
    </row>
    <row r="79" ht="9.75" customHeight="1">
      <c r="J79" s="1"/>
    </row>
    <row r="80" ht="9.75" customHeight="1">
      <c r="J80" s="1"/>
    </row>
    <row r="81" ht="9.75" customHeight="1">
      <c r="J81" s="1"/>
    </row>
    <row r="82" ht="9.75" customHeight="1">
      <c r="J82" s="1"/>
    </row>
    <row r="83" ht="9.75" customHeight="1">
      <c r="J83" s="1"/>
    </row>
    <row r="84" ht="9.75" customHeight="1">
      <c r="J84" s="1"/>
    </row>
    <row r="85" ht="9.75" customHeight="1">
      <c r="J85" s="1"/>
    </row>
  </sheetData>
  <sheetProtection/>
  <mergeCells count="2">
    <mergeCell ref="C3:D3"/>
    <mergeCell ref="A4:B4"/>
  </mergeCells>
  <printOptions/>
  <pageMargins left="0.7480314960629921" right="0.7480314960629921" top="0.6692913385826772" bottom="0.35433070866141736" header="0.2362204724409449" footer="0.15748031496062992"/>
  <pageSetup fitToHeight="1" fitToWidth="1" horizontalDpi="600" verticalDpi="600" orientation="landscape" paperSize="9" scale="98" r:id="rId3"/>
  <headerFooter alignWithMargins="0">
    <oddHeader>&amp;C&amp;14&amp;A</oddHeader>
    <oddFooter>&amp;C&amp;F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43"/>
  <sheetViews>
    <sheetView showZeros="0" workbookViewId="0" topLeftCell="A1">
      <selection activeCell="A53" sqref="A53"/>
    </sheetView>
  </sheetViews>
  <sheetFormatPr defaultColWidth="9.33203125" defaultRowHeight="9.75" customHeight="1"/>
  <cols>
    <col min="1" max="1" width="5.33203125" style="0" customWidth="1"/>
    <col min="2" max="2" width="22.83203125" style="0" customWidth="1"/>
    <col min="3" max="3" width="21.16015625" style="0" customWidth="1"/>
    <col min="5" max="5" width="16.83203125" style="0" customWidth="1"/>
  </cols>
  <sheetData>
    <row r="2" ht="9.75" customHeight="1">
      <c r="F2" s="385"/>
    </row>
    <row r="3" spans="1:6" ht="45.75" customHeight="1">
      <c r="A3" s="1234" t="s">
        <v>732</v>
      </c>
      <c r="B3" s="1235"/>
      <c r="C3" s="392" t="s">
        <v>1273</v>
      </c>
      <c r="F3" s="385"/>
    </row>
    <row r="4" spans="1:6" ht="9.75" customHeight="1">
      <c r="A4" s="13" t="s">
        <v>376</v>
      </c>
      <c r="B4" s="27" t="s">
        <v>371</v>
      </c>
      <c r="C4" s="45">
        <v>875000</v>
      </c>
      <c r="E4" s="58"/>
      <c r="F4" s="385"/>
    </row>
    <row r="5" spans="1:6" ht="9.75" customHeight="1">
      <c r="A5" s="13" t="s">
        <v>377</v>
      </c>
      <c r="B5" s="27" t="s">
        <v>68</v>
      </c>
      <c r="C5" s="45">
        <v>1264500</v>
      </c>
      <c r="F5" s="385"/>
    </row>
    <row r="6" spans="1:6" ht="9.75" customHeight="1">
      <c r="A6" s="13" t="s">
        <v>378</v>
      </c>
      <c r="B6" s="27" t="s">
        <v>372</v>
      </c>
      <c r="C6" s="45">
        <v>694000</v>
      </c>
      <c r="F6" s="385"/>
    </row>
    <row r="7" spans="1:6" ht="9.75" customHeight="1">
      <c r="A7" s="13" t="s">
        <v>379</v>
      </c>
      <c r="B7" s="27" t="s">
        <v>42</v>
      </c>
      <c r="C7" s="45">
        <v>4175000</v>
      </c>
      <c r="F7" s="385"/>
    </row>
    <row r="8" spans="1:6" ht="9.75" customHeight="1">
      <c r="A8" s="13" t="s">
        <v>380</v>
      </c>
      <c r="B8" s="27" t="s">
        <v>8</v>
      </c>
      <c r="C8" s="45">
        <v>15499000</v>
      </c>
      <c r="F8" s="385"/>
    </row>
    <row r="9" spans="1:6" ht="9.75" customHeight="1">
      <c r="A9" s="13" t="s">
        <v>381</v>
      </c>
      <c r="B9" s="27" t="s">
        <v>22</v>
      </c>
      <c r="C9" s="45">
        <v>7296000</v>
      </c>
      <c r="F9" s="385"/>
    </row>
    <row r="10" spans="1:6" ht="9.75" customHeight="1">
      <c r="A10" s="13" t="s">
        <v>382</v>
      </c>
      <c r="B10" s="27" t="s">
        <v>21</v>
      </c>
      <c r="C10" s="45">
        <v>6010000</v>
      </c>
      <c r="F10" s="385"/>
    </row>
    <row r="11" spans="1:6" ht="9.75" customHeight="1">
      <c r="A11" s="13" t="s">
        <v>383</v>
      </c>
      <c r="B11" s="27" t="s">
        <v>23</v>
      </c>
      <c r="C11" s="45">
        <v>3998000</v>
      </c>
      <c r="F11" s="385"/>
    </row>
    <row r="12" spans="1:6" ht="9.75" customHeight="1">
      <c r="A12" s="13" t="s">
        <v>384</v>
      </c>
      <c r="B12" s="27" t="s">
        <v>24</v>
      </c>
      <c r="C12" s="45">
        <v>4094000</v>
      </c>
      <c r="F12" s="385"/>
    </row>
    <row r="13" spans="1:6" ht="9.75" customHeight="1">
      <c r="A13" s="13" t="s">
        <v>385</v>
      </c>
      <c r="B13" s="27" t="s">
        <v>31</v>
      </c>
      <c r="C13" s="45">
        <v>4740185</v>
      </c>
      <c r="F13" s="1135"/>
    </row>
    <row r="14" spans="1:6" ht="9.75" customHeight="1">
      <c r="A14" s="13" t="s">
        <v>386</v>
      </c>
      <c r="B14" s="27" t="s">
        <v>37</v>
      </c>
      <c r="C14" s="45">
        <v>13071000</v>
      </c>
      <c r="F14" s="385"/>
    </row>
    <row r="15" spans="1:6" ht="9.75" customHeight="1">
      <c r="A15" s="13" t="s">
        <v>387</v>
      </c>
      <c r="B15" s="27" t="s">
        <v>72</v>
      </c>
      <c r="C15" s="45">
        <v>27150000</v>
      </c>
      <c r="F15" s="1136"/>
    </row>
    <row r="16" spans="1:6" ht="9.75" customHeight="1">
      <c r="A16" s="13" t="s">
        <v>388</v>
      </c>
      <c r="B16" s="27" t="s">
        <v>81</v>
      </c>
      <c r="C16" s="45">
        <v>18000021</v>
      </c>
      <c r="F16" s="1135"/>
    </row>
    <row r="17" spans="1:6" ht="9.75" customHeight="1">
      <c r="A17" s="13" t="s">
        <v>389</v>
      </c>
      <c r="B17" s="27" t="s">
        <v>87</v>
      </c>
      <c r="C17" s="45">
        <v>3442000</v>
      </c>
      <c r="F17" s="385"/>
    </row>
    <row r="18" spans="1:6" ht="9.75" customHeight="1">
      <c r="A18" s="13" t="s">
        <v>390</v>
      </c>
      <c r="B18" s="27" t="s">
        <v>45</v>
      </c>
      <c r="C18" s="45">
        <v>6198000</v>
      </c>
      <c r="F18" s="385"/>
    </row>
    <row r="19" spans="1:6" ht="9.75" customHeight="1">
      <c r="A19" s="13" t="s">
        <v>391</v>
      </c>
      <c r="B19" s="27" t="s">
        <v>94</v>
      </c>
      <c r="C19" s="45">
        <v>1843000</v>
      </c>
      <c r="F19" s="385"/>
    </row>
    <row r="20" spans="1:6" ht="9.75" customHeight="1">
      <c r="A20" s="13" t="s">
        <v>392</v>
      </c>
      <c r="B20" s="27" t="s">
        <v>58</v>
      </c>
      <c r="C20" s="45">
        <v>3264000</v>
      </c>
      <c r="F20" s="385"/>
    </row>
    <row r="21" spans="1:6" ht="9.75" customHeight="1">
      <c r="A21" s="13" t="s">
        <v>393</v>
      </c>
      <c r="B21" s="27" t="s">
        <v>373</v>
      </c>
      <c r="C21" s="45">
        <v>1092000</v>
      </c>
      <c r="F21" s="385"/>
    </row>
    <row r="22" spans="1:6" ht="9.75" customHeight="1">
      <c r="A22" s="49" t="s">
        <v>400</v>
      </c>
      <c r="B22" s="50"/>
      <c r="C22" s="394">
        <f>SUM(C4:C21)</f>
        <v>122705706</v>
      </c>
      <c r="E22" s="60"/>
      <c r="F22" s="385"/>
    </row>
    <row r="23" spans="1:6" ht="3.75" customHeight="1">
      <c r="A23" s="52"/>
      <c r="B23" s="53"/>
      <c r="C23" s="395"/>
      <c r="F23" s="385"/>
    </row>
    <row r="24" spans="1:6" ht="9.75" customHeight="1">
      <c r="A24" s="13" t="s">
        <v>401</v>
      </c>
      <c r="B24" s="27" t="s">
        <v>402</v>
      </c>
      <c r="C24" s="393">
        <v>0</v>
      </c>
      <c r="F24" s="385"/>
    </row>
    <row r="25" spans="1:6" ht="17.25">
      <c r="A25" s="13" t="s">
        <v>403</v>
      </c>
      <c r="B25" s="27" t="s">
        <v>419</v>
      </c>
      <c r="C25" s="393">
        <f>SUM(C26:C32)</f>
        <v>0</v>
      </c>
      <c r="E25" s="384"/>
      <c r="F25" s="385"/>
    </row>
    <row r="26" spans="1:6" ht="9.75" customHeight="1">
      <c r="A26" s="54" t="s">
        <v>405</v>
      </c>
      <c r="B26" s="330" t="s">
        <v>406</v>
      </c>
      <c r="C26" s="1068">
        <v>0</v>
      </c>
      <c r="F26" s="385"/>
    </row>
    <row r="27" spans="1:6" s="6" customFormat="1" ht="9.75" customHeight="1">
      <c r="A27" s="55" t="s">
        <v>405</v>
      </c>
      <c r="B27" s="331" t="s">
        <v>407</v>
      </c>
      <c r="C27" s="1069">
        <v>0</v>
      </c>
      <c r="F27" s="1137"/>
    </row>
    <row r="28" spans="1:6" s="6" customFormat="1" ht="9.75" customHeight="1">
      <c r="A28" s="55"/>
      <c r="B28" s="331" t="s">
        <v>408</v>
      </c>
      <c r="C28" s="1069">
        <v>0</v>
      </c>
      <c r="F28" s="1137"/>
    </row>
    <row r="29" spans="1:3" s="6" customFormat="1" ht="9.75" customHeight="1">
      <c r="A29" s="55"/>
      <c r="B29" s="331" t="s">
        <v>409</v>
      </c>
      <c r="C29" s="1069">
        <v>0</v>
      </c>
    </row>
    <row r="30" spans="1:3" s="6" customFormat="1" ht="9.75" customHeight="1">
      <c r="A30" s="55"/>
      <c r="B30" s="331" t="s">
        <v>411</v>
      </c>
      <c r="C30" s="1069">
        <v>0</v>
      </c>
    </row>
    <row r="31" spans="1:3" s="6" customFormat="1" ht="9.75" customHeight="1">
      <c r="A31" s="55"/>
      <c r="B31" s="331" t="s">
        <v>412</v>
      </c>
      <c r="C31" s="1069">
        <v>0</v>
      </c>
    </row>
    <row r="32" spans="1:3" s="6" customFormat="1" ht="9.75" customHeight="1">
      <c r="A32" s="57"/>
      <c r="B32" s="332" t="s">
        <v>413</v>
      </c>
      <c r="C32" s="1070">
        <v>0</v>
      </c>
    </row>
    <row r="33" spans="1:3" ht="9.75" customHeight="1">
      <c r="A33" s="13" t="s">
        <v>414</v>
      </c>
      <c r="B33" s="27" t="s">
        <v>415</v>
      </c>
      <c r="C33" s="393">
        <v>0</v>
      </c>
    </row>
    <row r="34" spans="1:3" ht="9.75" customHeight="1">
      <c r="A34" s="13" t="s">
        <v>416</v>
      </c>
      <c r="B34" s="27" t="s">
        <v>417</v>
      </c>
      <c r="C34" s="393">
        <v>0</v>
      </c>
    </row>
    <row r="35" spans="1:3" ht="9.75" customHeight="1">
      <c r="A35" s="13" t="s">
        <v>570</v>
      </c>
      <c r="B35" s="27" t="s">
        <v>571</v>
      </c>
      <c r="C35" s="393"/>
    </row>
    <row r="36" spans="1:3" ht="9.75" customHeight="1">
      <c r="A36" s="13" t="s">
        <v>649</v>
      </c>
      <c r="B36" s="27" t="s">
        <v>410</v>
      </c>
      <c r="C36" s="393"/>
    </row>
    <row r="37" spans="1:5" ht="9.75" customHeight="1">
      <c r="A37" s="15" t="s">
        <v>375</v>
      </c>
      <c r="B37" s="14"/>
      <c r="C37" s="61">
        <f>C22+C24+C25+SUM(C33:C36)</f>
        <v>122705706</v>
      </c>
      <c r="D37" s="7"/>
      <c r="E37" s="59"/>
    </row>
    <row r="38" spans="2:3" ht="9.75" customHeight="1">
      <c r="B38" s="387" t="s">
        <v>1268</v>
      </c>
      <c r="C38" s="388">
        <f>Bilance!C86</f>
        <v>122705706</v>
      </c>
    </row>
    <row r="39" spans="1:3" ht="11.25" customHeight="1">
      <c r="A39" s="62"/>
      <c r="C39" s="1082">
        <f>C38-C37</f>
        <v>0</v>
      </c>
    </row>
    <row r="40" ht="9.75" customHeight="1">
      <c r="C40" s="63"/>
    </row>
    <row r="41" ht="11.25" customHeight="1">
      <c r="A41" s="62"/>
    </row>
    <row r="42" spans="1:2" ht="11.25" customHeight="1">
      <c r="A42" s="1"/>
      <c r="B42" s="19"/>
    </row>
    <row r="43" ht="9.75" customHeight="1">
      <c r="C43" s="9">
        <f>IF(C39&gt;C40,"je rozepsáno o "&amp;ROUND(C39-C40,0)&amp;" více !!!",IF(C39&lt;C40,"je rozepsáno o "&amp;ROUND(C40-C39,0)&amp;" méně !!!",""))</f>
      </c>
    </row>
  </sheetData>
  <sheetProtection/>
  <mergeCells count="1">
    <mergeCell ref="A3:B3"/>
  </mergeCells>
  <printOptions/>
  <pageMargins left="0.7" right="0.7" top="0.75" bottom="0.75" header="0.3" footer="0.3"/>
  <pageSetup fitToWidth="0" fitToHeight="1" horizontalDpi="600" verticalDpi="600" orientation="landscape" paperSize="9" r:id="rId1"/>
  <headerFooter alignWithMargins="0">
    <oddHeader>&amp;C&amp;"Tahoma,Tučné"&amp;10&amp;A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N47"/>
  <sheetViews>
    <sheetView showZeros="0" workbookViewId="0" topLeftCell="A3">
      <pane xSplit="2" ySplit="1" topLeftCell="C25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19" sqref="C19"/>
    </sheetView>
  </sheetViews>
  <sheetFormatPr defaultColWidth="9.33203125" defaultRowHeight="12.75" customHeight="1"/>
  <cols>
    <col min="1" max="1" width="7.33203125" style="0" customWidth="1"/>
    <col min="2" max="2" width="19.5" style="0" bestFit="1" customWidth="1"/>
    <col min="3" max="4" width="14.5" style="0" customWidth="1"/>
    <col min="5" max="5" width="14.83203125" style="0" customWidth="1"/>
    <col min="6" max="6" width="9.83203125" style="0" bestFit="1" customWidth="1"/>
    <col min="7" max="7" width="16.33203125" style="0" customWidth="1"/>
    <col min="8" max="9" width="16.83203125" style="0" customWidth="1"/>
    <col min="10" max="10" width="17.16015625" style="0" customWidth="1"/>
    <col min="11" max="11" width="6.83203125" style="0" customWidth="1"/>
    <col min="12" max="14" width="13.33203125" style="0" customWidth="1"/>
  </cols>
  <sheetData>
    <row r="2" ht="12.75" customHeight="1" thickBot="1"/>
    <row r="3" spans="1:13" ht="51" customHeight="1">
      <c r="A3" s="1239" t="s">
        <v>1237</v>
      </c>
      <c r="B3" s="1240"/>
      <c r="C3" s="373" t="s">
        <v>772</v>
      </c>
      <c r="D3" s="374" t="s">
        <v>772</v>
      </c>
      <c r="E3" s="373" t="s">
        <v>574</v>
      </c>
      <c r="F3" s="377" t="s">
        <v>572</v>
      </c>
      <c r="G3" s="377" t="s">
        <v>575</v>
      </c>
      <c r="H3" s="374" t="s">
        <v>431</v>
      </c>
      <c r="I3" s="378" t="s">
        <v>432</v>
      </c>
      <c r="J3" s="379" t="s">
        <v>485</v>
      </c>
      <c r="K3" s="1058" t="s">
        <v>447</v>
      </c>
      <c r="L3" s="257" t="s">
        <v>374</v>
      </c>
      <c r="M3" s="253" t="s">
        <v>576</v>
      </c>
    </row>
    <row r="4" spans="1:14" ht="12.75" customHeight="1">
      <c r="A4" s="651" t="s">
        <v>376</v>
      </c>
      <c r="B4" s="652" t="s">
        <v>371</v>
      </c>
      <c r="C4" s="650">
        <v>0</v>
      </c>
      <c r="D4" s="336">
        <f aca="true" t="shared" si="0" ref="D4:D21">C4/$C$37</f>
        <v>0</v>
      </c>
      <c r="E4" s="650">
        <v>3466</v>
      </c>
      <c r="F4" s="35">
        <v>0</v>
      </c>
      <c r="G4" s="45">
        <f aca="true" t="shared" si="1" ref="G4:G21">E4+F4*D$42</f>
        <v>3466</v>
      </c>
      <c r="H4" s="336">
        <f aca="true" t="shared" si="2" ref="H4:H21">G4/G$37</f>
        <v>0.005889489156483608</v>
      </c>
      <c r="I4" s="380">
        <f aca="true" t="shared" si="3" ref="I4:I21">D4*D$41+H4*(1-D$41)</f>
        <v>0.003926326104322406</v>
      </c>
      <c r="J4" s="351">
        <f aca="true" t="shared" si="4" ref="J4:J21">I4*D$40</f>
        <v>392632.6104322406</v>
      </c>
      <c r="K4" s="25"/>
      <c r="L4" s="258">
        <f aca="true" t="shared" si="5" ref="L4:L20">ROUND(J4*J$43,0)</f>
        <v>244630</v>
      </c>
      <c r="M4" s="254">
        <f>J4-L4</f>
        <v>148002.6104322406</v>
      </c>
      <c r="N4" s="293" t="s">
        <v>371</v>
      </c>
    </row>
    <row r="5" spans="1:14" ht="12.75" customHeight="1">
      <c r="A5" s="651" t="s">
        <v>377</v>
      </c>
      <c r="B5" s="652" t="s">
        <v>68</v>
      </c>
      <c r="C5" s="650">
        <v>2764296</v>
      </c>
      <c r="D5" s="336">
        <f t="shared" si="0"/>
        <v>0.011608030749186574</v>
      </c>
      <c r="E5" s="650">
        <v>3259</v>
      </c>
      <c r="F5" s="35"/>
      <c r="G5" s="45">
        <f t="shared" si="1"/>
        <v>3259</v>
      </c>
      <c r="H5" s="336">
        <f t="shared" si="2"/>
        <v>0.005537751056255071</v>
      </c>
      <c r="I5" s="380">
        <f t="shared" si="3"/>
        <v>0.0075611776205655725</v>
      </c>
      <c r="J5" s="351">
        <f t="shared" si="4"/>
        <v>756117.7620565572</v>
      </c>
      <c r="K5" s="25"/>
      <c r="L5" s="258">
        <f t="shared" si="5"/>
        <v>471100</v>
      </c>
      <c r="M5" s="254">
        <f aca="true" t="shared" si="6" ref="M5:M21">J5-L5</f>
        <v>285017.7620565572</v>
      </c>
      <c r="N5" s="293" t="s">
        <v>68</v>
      </c>
    </row>
    <row r="6" spans="1:14" ht="12.75" customHeight="1">
      <c r="A6" s="651" t="s">
        <v>378</v>
      </c>
      <c r="B6" s="652" t="s">
        <v>372</v>
      </c>
      <c r="C6" s="650">
        <v>165203</v>
      </c>
      <c r="D6" s="336">
        <f t="shared" si="0"/>
        <v>0.0006937323296267366</v>
      </c>
      <c r="E6" s="650">
        <v>6472</v>
      </c>
      <c r="F6" s="35"/>
      <c r="G6" s="45">
        <f t="shared" si="1"/>
        <v>6472</v>
      </c>
      <c r="H6" s="336">
        <f t="shared" si="2"/>
        <v>0.010997338090237134</v>
      </c>
      <c r="I6" s="380">
        <f t="shared" si="3"/>
        <v>0.007562802836700335</v>
      </c>
      <c r="J6" s="351">
        <f t="shared" si="4"/>
        <v>756280.2836700336</v>
      </c>
      <c r="K6" s="25"/>
      <c r="L6" s="258">
        <f t="shared" si="5"/>
        <v>471201</v>
      </c>
      <c r="M6" s="254">
        <f t="shared" si="6"/>
        <v>285079.28367003356</v>
      </c>
      <c r="N6" s="293" t="s">
        <v>372</v>
      </c>
    </row>
    <row r="7" spans="1:14" ht="12.75" customHeight="1">
      <c r="A7" s="651" t="s">
        <v>379</v>
      </c>
      <c r="B7" s="652" t="s">
        <v>42</v>
      </c>
      <c r="C7" s="650">
        <v>8256896</v>
      </c>
      <c r="D7" s="336">
        <f t="shared" si="0"/>
        <v>0.034672952050299834</v>
      </c>
      <c r="E7" s="650">
        <v>22655.44</v>
      </c>
      <c r="F7" s="35"/>
      <c r="G7" s="45">
        <f t="shared" si="1"/>
        <v>22655.44</v>
      </c>
      <c r="H7" s="336">
        <f t="shared" si="2"/>
        <v>0.038496528625321685</v>
      </c>
      <c r="I7" s="380">
        <f t="shared" si="3"/>
        <v>0.0372220031003144</v>
      </c>
      <c r="J7" s="351">
        <f t="shared" si="4"/>
        <v>3722200.31003144</v>
      </c>
      <c r="K7" s="25"/>
      <c r="L7" s="258">
        <f t="shared" si="5"/>
        <v>2319119</v>
      </c>
      <c r="M7" s="254">
        <f t="shared" si="6"/>
        <v>1403081.31003144</v>
      </c>
      <c r="N7" s="293" t="s">
        <v>42</v>
      </c>
    </row>
    <row r="8" spans="1:14" ht="12.75" customHeight="1">
      <c r="A8" s="651" t="s">
        <v>380</v>
      </c>
      <c r="B8" s="652" t="s">
        <v>8</v>
      </c>
      <c r="C8" s="650">
        <f>33677785+(2660776)</f>
        <v>36338561</v>
      </c>
      <c r="D8" s="336">
        <f t="shared" si="0"/>
        <v>0.15259550115804965</v>
      </c>
      <c r="E8" s="650">
        <v>75536</v>
      </c>
      <c r="F8" s="35"/>
      <c r="G8" s="45">
        <f t="shared" si="1"/>
        <v>75536</v>
      </c>
      <c r="H8" s="336">
        <f t="shared" si="2"/>
        <v>0.12835212144378125</v>
      </c>
      <c r="I8" s="380">
        <f t="shared" si="3"/>
        <v>0.13643324801520407</v>
      </c>
      <c r="J8" s="351">
        <f t="shared" si="4"/>
        <v>13643324.801520407</v>
      </c>
      <c r="K8" s="25"/>
      <c r="L8" s="258">
        <f t="shared" si="5"/>
        <v>8500480</v>
      </c>
      <c r="M8" s="254">
        <f t="shared" si="6"/>
        <v>5142844.801520407</v>
      </c>
      <c r="N8" s="293" t="s">
        <v>8</v>
      </c>
    </row>
    <row r="9" spans="1:14" ht="12.75" customHeight="1">
      <c r="A9" s="651" t="s">
        <v>381</v>
      </c>
      <c r="B9" s="652" t="s">
        <v>22</v>
      </c>
      <c r="C9" s="650">
        <v>4409270</v>
      </c>
      <c r="D9" s="336">
        <f t="shared" si="0"/>
        <v>0.01851572398233253</v>
      </c>
      <c r="E9" s="650">
        <v>14523</v>
      </c>
      <c r="F9" s="35"/>
      <c r="G9" s="45">
        <f t="shared" si="1"/>
        <v>14523</v>
      </c>
      <c r="H9" s="336">
        <f t="shared" si="2"/>
        <v>0.024677741205889045</v>
      </c>
      <c r="I9" s="380">
        <f t="shared" si="3"/>
        <v>0.022623735464703542</v>
      </c>
      <c r="J9" s="351">
        <f t="shared" si="4"/>
        <v>2262373.5464703543</v>
      </c>
      <c r="K9" s="25"/>
      <c r="L9" s="258">
        <f t="shared" si="5"/>
        <v>1409573</v>
      </c>
      <c r="M9" s="254">
        <f t="shared" si="6"/>
        <v>852800.5464703543</v>
      </c>
      <c r="N9" s="293" t="s">
        <v>22</v>
      </c>
    </row>
    <row r="10" spans="1:14" ht="12.75" customHeight="1">
      <c r="A10" s="651" t="s">
        <v>382</v>
      </c>
      <c r="B10" s="652" t="s">
        <v>21</v>
      </c>
      <c r="C10" s="650">
        <v>5026344</v>
      </c>
      <c r="D10" s="336">
        <f t="shared" si="0"/>
        <v>0.021106985542788993</v>
      </c>
      <c r="E10" s="650">
        <v>12192</v>
      </c>
      <c r="F10" s="35"/>
      <c r="G10" s="45">
        <f t="shared" si="1"/>
        <v>12192</v>
      </c>
      <c r="H10" s="336">
        <f t="shared" si="2"/>
        <v>0.020716864338098138</v>
      </c>
      <c r="I10" s="380">
        <f t="shared" si="3"/>
        <v>0.020846904739661755</v>
      </c>
      <c r="J10" s="351">
        <f t="shared" si="4"/>
        <v>2084690.4739661755</v>
      </c>
      <c r="K10" s="25"/>
      <c r="L10" s="258">
        <f t="shared" si="5"/>
        <v>1298867</v>
      </c>
      <c r="M10" s="254">
        <f t="shared" si="6"/>
        <v>785823.4739661755</v>
      </c>
      <c r="N10" s="293" t="s">
        <v>21</v>
      </c>
    </row>
    <row r="11" spans="1:14" ht="12.75" customHeight="1">
      <c r="A11" s="651" t="s">
        <v>383</v>
      </c>
      <c r="B11" s="652" t="s">
        <v>23</v>
      </c>
      <c r="C11" s="650">
        <v>9105506</v>
      </c>
      <c r="D11" s="336">
        <f t="shared" si="0"/>
        <v>0.03823649624891938</v>
      </c>
      <c r="E11" s="650">
        <v>30056</v>
      </c>
      <c r="F11" s="35"/>
      <c r="G11" s="45">
        <f t="shared" si="1"/>
        <v>30056</v>
      </c>
      <c r="H11" s="336">
        <f t="shared" si="2"/>
        <v>0.05107169246603327</v>
      </c>
      <c r="I11" s="380">
        <f t="shared" si="3"/>
        <v>0.04679329372699531</v>
      </c>
      <c r="J11" s="351">
        <f t="shared" si="4"/>
        <v>4679329.372699531</v>
      </c>
      <c r="K11" s="25"/>
      <c r="L11" s="258">
        <f t="shared" si="5"/>
        <v>2915458</v>
      </c>
      <c r="M11" s="254">
        <f t="shared" si="6"/>
        <v>1763871.3726995308</v>
      </c>
      <c r="N11" s="293" t="s">
        <v>23</v>
      </c>
    </row>
    <row r="12" spans="1:14" ht="12.75" customHeight="1">
      <c r="A12" s="651" t="s">
        <v>384</v>
      </c>
      <c r="B12" s="652" t="s">
        <v>24</v>
      </c>
      <c r="C12" s="650">
        <f>12774216-3106512</f>
        <v>9667704</v>
      </c>
      <c r="D12" s="336">
        <f t="shared" si="0"/>
        <v>0.04059731855996392</v>
      </c>
      <c r="E12" s="650">
        <f>29121.22-4444.22</f>
        <v>24677</v>
      </c>
      <c r="F12" s="35"/>
      <c r="G12" s="45">
        <f t="shared" si="1"/>
        <v>24677</v>
      </c>
      <c r="H12" s="336">
        <f t="shared" si="2"/>
        <v>0.041931599513717825</v>
      </c>
      <c r="I12" s="380">
        <f t="shared" si="3"/>
        <v>0.04148683919579986</v>
      </c>
      <c r="J12" s="351">
        <f t="shared" si="4"/>
        <v>4148683.919579986</v>
      </c>
      <c r="K12" s="25"/>
      <c r="L12" s="258">
        <f t="shared" si="5"/>
        <v>2584839</v>
      </c>
      <c r="M12" s="254">
        <f t="shared" si="6"/>
        <v>1563844.919579986</v>
      </c>
      <c r="N12" s="293" t="s">
        <v>24</v>
      </c>
    </row>
    <row r="13" spans="1:14" ht="12.75" customHeight="1">
      <c r="A13" s="651" t="s">
        <v>385</v>
      </c>
      <c r="B13" s="652" t="s">
        <v>31</v>
      </c>
      <c r="C13" s="650">
        <f>8142849+3106512</f>
        <v>11249361</v>
      </c>
      <c r="D13" s="336">
        <f t="shared" si="0"/>
        <v>0.047239126488878264</v>
      </c>
      <c r="E13" s="650">
        <f>20689.78+4444.22</f>
        <v>25134</v>
      </c>
      <c r="F13" s="35">
        <v>5621</v>
      </c>
      <c r="G13" s="45">
        <f t="shared" si="1"/>
        <v>26258.2</v>
      </c>
      <c r="H13" s="336">
        <f t="shared" si="2"/>
        <v>0.044618402818458705</v>
      </c>
      <c r="I13" s="380">
        <f t="shared" si="3"/>
        <v>0.045491977375265225</v>
      </c>
      <c r="J13" s="351">
        <f t="shared" si="4"/>
        <v>4549197.737526522</v>
      </c>
      <c r="K13" s="25"/>
      <c r="L13" s="258">
        <f t="shared" si="5"/>
        <v>2834380</v>
      </c>
      <c r="M13" s="254">
        <f t="shared" si="6"/>
        <v>1714817.737526522</v>
      </c>
      <c r="N13" s="293" t="s">
        <v>31</v>
      </c>
    </row>
    <row r="14" spans="1:14" ht="12.75" customHeight="1">
      <c r="A14" s="651" t="s">
        <v>386</v>
      </c>
      <c r="B14" s="652" t="s">
        <v>37</v>
      </c>
      <c r="C14" s="650">
        <v>19456178</v>
      </c>
      <c r="D14" s="336">
        <f t="shared" si="0"/>
        <v>0.081701783197475</v>
      </c>
      <c r="E14" s="650">
        <v>25040</v>
      </c>
      <c r="F14" s="35"/>
      <c r="G14" s="45">
        <f t="shared" si="1"/>
        <v>25040</v>
      </c>
      <c r="H14" s="336">
        <f t="shared" si="2"/>
        <v>0.04254841560252439</v>
      </c>
      <c r="I14" s="380">
        <f t="shared" si="3"/>
        <v>0.05559953813417459</v>
      </c>
      <c r="J14" s="351">
        <f t="shared" si="4"/>
        <v>5559953.813417459</v>
      </c>
      <c r="K14" s="25"/>
      <c r="L14" s="258">
        <f t="shared" si="5"/>
        <v>3464132</v>
      </c>
      <c r="M14" s="254">
        <f t="shared" si="6"/>
        <v>2095821.813417459</v>
      </c>
      <c r="N14" s="293" t="s">
        <v>37</v>
      </c>
    </row>
    <row r="15" spans="1:14" ht="12.75" customHeight="1">
      <c r="A15" s="651" t="s">
        <v>387</v>
      </c>
      <c r="B15" s="652" t="s">
        <v>72</v>
      </c>
      <c r="C15" s="650">
        <f>30439662.98+(8694460)-(2660776)</f>
        <v>36473346.980000004</v>
      </c>
      <c r="D15" s="336">
        <f t="shared" si="0"/>
        <v>0.15316150414774368</v>
      </c>
      <c r="E15" s="650">
        <v>57965</v>
      </c>
      <c r="F15" s="35"/>
      <c r="G15" s="45">
        <f t="shared" si="1"/>
        <v>57965</v>
      </c>
      <c r="H15" s="336">
        <f t="shared" si="2"/>
        <v>0.09849516415336766</v>
      </c>
      <c r="I15" s="380">
        <f t="shared" si="3"/>
        <v>0.11671727748482634</v>
      </c>
      <c r="J15" s="351">
        <f t="shared" si="4"/>
        <v>11671727.748482633</v>
      </c>
      <c r="K15" s="25"/>
      <c r="L15" s="258">
        <f t="shared" si="5"/>
        <v>7272075</v>
      </c>
      <c r="M15" s="254">
        <f t="shared" si="6"/>
        <v>4399652.748482633</v>
      </c>
      <c r="N15" s="293" t="s">
        <v>72</v>
      </c>
    </row>
    <row r="16" spans="1:14" ht="12.75" customHeight="1">
      <c r="A16" s="651" t="s">
        <v>388</v>
      </c>
      <c r="B16" s="652" t="s">
        <v>81</v>
      </c>
      <c r="C16" s="650">
        <v>28594785</v>
      </c>
      <c r="D16" s="336">
        <f t="shared" si="0"/>
        <v>0.12007727954834757</v>
      </c>
      <c r="E16" s="650">
        <v>66216</v>
      </c>
      <c r="F16" s="35">
        <v>3188</v>
      </c>
      <c r="G16" s="45">
        <f t="shared" si="1"/>
        <v>66853.6</v>
      </c>
      <c r="H16" s="336">
        <f t="shared" si="2"/>
        <v>0.11359883216153853</v>
      </c>
      <c r="I16" s="380">
        <f t="shared" si="3"/>
        <v>0.11575831462380821</v>
      </c>
      <c r="J16" s="351">
        <f t="shared" si="4"/>
        <v>11575831.46238082</v>
      </c>
      <c r="K16" s="25"/>
      <c r="L16" s="258">
        <f t="shared" si="5"/>
        <v>7212327</v>
      </c>
      <c r="M16" s="254">
        <f t="shared" si="6"/>
        <v>4363504.462380821</v>
      </c>
      <c r="N16" s="293" t="s">
        <v>81</v>
      </c>
    </row>
    <row r="17" spans="1:14" ht="12.75" customHeight="1">
      <c r="A17" s="651" t="s">
        <v>389</v>
      </c>
      <c r="B17" s="652" t="s">
        <v>87</v>
      </c>
      <c r="C17" s="650">
        <v>4269445</v>
      </c>
      <c r="D17" s="336">
        <f t="shared" si="0"/>
        <v>0.01792856077712404</v>
      </c>
      <c r="E17" s="650">
        <v>24564</v>
      </c>
      <c r="F17" s="35"/>
      <c r="G17" s="45">
        <f t="shared" si="1"/>
        <v>24564</v>
      </c>
      <c r="H17" s="336">
        <f t="shared" si="2"/>
        <v>0.041739587893786304</v>
      </c>
      <c r="I17" s="380">
        <f t="shared" si="3"/>
        <v>0.03380257885489889</v>
      </c>
      <c r="J17" s="351">
        <f t="shared" si="4"/>
        <v>3380257.885489889</v>
      </c>
      <c r="K17" s="25"/>
      <c r="L17" s="258">
        <f t="shared" si="5"/>
        <v>2106071</v>
      </c>
      <c r="M17" s="254">
        <f t="shared" si="6"/>
        <v>1274186.885489889</v>
      </c>
      <c r="N17" s="293" t="s">
        <v>87</v>
      </c>
    </row>
    <row r="18" spans="1:14" ht="12.75" customHeight="1">
      <c r="A18" s="651" t="s">
        <v>390</v>
      </c>
      <c r="B18" s="652" t="s">
        <v>45</v>
      </c>
      <c r="C18" s="650">
        <v>4961966</v>
      </c>
      <c r="D18" s="336">
        <f t="shared" si="0"/>
        <v>0.020836644810982</v>
      </c>
      <c r="E18" s="650">
        <v>21447</v>
      </c>
      <c r="F18" s="35"/>
      <c r="G18" s="45">
        <f t="shared" si="1"/>
        <v>21447</v>
      </c>
      <c r="H18" s="336">
        <f t="shared" si="2"/>
        <v>0.03644312577585226</v>
      </c>
      <c r="I18" s="380">
        <f t="shared" si="3"/>
        <v>0.03124096545422884</v>
      </c>
      <c r="J18" s="351">
        <f t="shared" si="4"/>
        <v>3124096.545422884</v>
      </c>
      <c r="K18" s="25"/>
      <c r="L18" s="258">
        <f t="shared" si="5"/>
        <v>1946470</v>
      </c>
      <c r="M18" s="254">
        <f t="shared" si="6"/>
        <v>1177626.5454228842</v>
      </c>
      <c r="N18" s="293" t="s">
        <v>45</v>
      </c>
    </row>
    <row r="19" spans="1:14" ht="12.75" customHeight="1">
      <c r="A19" s="651" t="s">
        <v>391</v>
      </c>
      <c r="B19" s="652" t="s">
        <v>94</v>
      </c>
      <c r="C19" s="650">
        <v>19814357</v>
      </c>
      <c r="D19" s="336">
        <f t="shared" si="0"/>
        <v>0.08320587423754917</v>
      </c>
      <c r="E19" s="650">
        <v>40836</v>
      </c>
      <c r="F19" s="35">
        <v>30230</v>
      </c>
      <c r="G19" s="45">
        <f t="shared" si="1"/>
        <v>46882</v>
      </c>
      <c r="H19" s="336">
        <f t="shared" si="2"/>
        <v>0.07966273243919922</v>
      </c>
      <c r="I19" s="380">
        <f t="shared" si="3"/>
        <v>0.08084377970531588</v>
      </c>
      <c r="J19" s="351">
        <f t="shared" si="4"/>
        <v>8084377.970531588</v>
      </c>
      <c r="K19" s="25"/>
      <c r="L19" s="258">
        <f t="shared" si="5"/>
        <v>5036975</v>
      </c>
      <c r="M19" s="254">
        <f t="shared" si="6"/>
        <v>3047402.9705315884</v>
      </c>
      <c r="N19" s="293" t="s">
        <v>94</v>
      </c>
    </row>
    <row r="20" spans="1:14" ht="12.75" customHeight="1">
      <c r="A20" s="651" t="s">
        <v>392</v>
      </c>
      <c r="B20" s="652" t="s">
        <v>58</v>
      </c>
      <c r="C20" s="650">
        <v>3635532</v>
      </c>
      <c r="D20" s="336">
        <f t="shared" si="0"/>
        <v>0.015266587675723498</v>
      </c>
      <c r="E20" s="650">
        <v>12661</v>
      </c>
      <c r="F20" s="35"/>
      <c r="G20" s="45">
        <f t="shared" si="1"/>
        <v>12661</v>
      </c>
      <c r="H20" s="336">
        <f t="shared" si="2"/>
        <v>0.02151379752170772</v>
      </c>
      <c r="I20" s="380">
        <f t="shared" si="3"/>
        <v>0.01943139423971298</v>
      </c>
      <c r="J20" s="351">
        <f>I20*D$40</f>
        <v>1943139.423971298</v>
      </c>
      <c r="K20" s="25"/>
      <c r="L20" s="258">
        <f t="shared" si="5"/>
        <v>1210674</v>
      </c>
      <c r="M20" s="254">
        <f>J20-L20</f>
        <v>732465.4239712979</v>
      </c>
      <c r="N20" s="293" t="s">
        <v>58</v>
      </c>
    </row>
    <row r="21" spans="1:14" ht="12.75" customHeight="1">
      <c r="A21" s="651" t="s">
        <v>393</v>
      </c>
      <c r="B21" s="652" t="s">
        <v>373</v>
      </c>
      <c r="C21" s="650">
        <v>0</v>
      </c>
      <c r="D21" s="336">
        <f t="shared" si="0"/>
        <v>0</v>
      </c>
      <c r="E21" s="650">
        <v>635</v>
      </c>
      <c r="F21" s="35"/>
      <c r="G21" s="45">
        <f t="shared" si="1"/>
        <v>635</v>
      </c>
      <c r="H21" s="336">
        <f t="shared" si="2"/>
        <v>0.0010790033509426114</v>
      </c>
      <c r="I21" s="380">
        <f t="shared" si="3"/>
        <v>0.0007193355672950743</v>
      </c>
      <c r="J21" s="351">
        <f t="shared" si="4"/>
        <v>71933.55672950743</v>
      </c>
      <c r="K21" s="25"/>
      <c r="L21" s="258">
        <f>ROUND(J21*J$43,0)-0.744</f>
        <v>44817.256</v>
      </c>
      <c r="M21" s="254">
        <f t="shared" si="6"/>
        <v>27116.300729507428</v>
      </c>
      <c r="N21" s="293" t="s">
        <v>373</v>
      </c>
    </row>
    <row r="22" spans="1:14" ht="12.75" customHeight="1">
      <c r="A22" s="653" t="s">
        <v>421</v>
      </c>
      <c r="B22" s="654"/>
      <c r="C22" s="375">
        <f>SUM(C4:C21)</f>
        <v>204188750.98000002</v>
      </c>
      <c r="D22" s="376">
        <f aca="true" t="shared" si="7" ref="D22:J22">SUM(D4:D21)</f>
        <v>0.8574441015049908</v>
      </c>
      <c r="E22" s="36">
        <f t="shared" si="7"/>
        <v>467334.44</v>
      </c>
      <c r="F22" s="36">
        <f t="shared" si="7"/>
        <v>39039</v>
      </c>
      <c r="G22" s="36">
        <f t="shared" si="7"/>
        <v>475142.24</v>
      </c>
      <c r="H22" s="403">
        <f t="shared" si="7"/>
        <v>0.8073701876131943</v>
      </c>
      <c r="I22" s="404">
        <f t="shared" si="7"/>
        <v>0.8240614922437933</v>
      </c>
      <c r="J22" s="405">
        <f t="shared" si="7"/>
        <v>82406149.22437932</v>
      </c>
      <c r="K22" s="25"/>
      <c r="L22" s="259">
        <f>SUM(L4:L21)</f>
        <v>51343188.256</v>
      </c>
      <c r="M22" s="255">
        <f>SUM(M4:M21)</f>
        <v>31062960.968379322</v>
      </c>
      <c r="N22" s="264">
        <f>SUM(L22:M22)</f>
        <v>82406149.22437932</v>
      </c>
    </row>
    <row r="23" spans="1:14" ht="12.75" customHeight="1">
      <c r="A23" s="655"/>
      <c r="B23" s="656"/>
      <c r="C23" s="538"/>
      <c r="D23" s="333"/>
      <c r="E23" s="340"/>
      <c r="F23" s="70"/>
      <c r="G23" s="70"/>
      <c r="H23" s="333"/>
      <c r="I23" s="347"/>
      <c r="J23" s="348"/>
      <c r="K23" s="25"/>
      <c r="L23" s="59"/>
      <c r="M23" s="59"/>
      <c r="N23" s="390"/>
    </row>
    <row r="24" spans="1:14" ht="12.75" customHeight="1">
      <c r="A24" s="657" t="s">
        <v>401</v>
      </c>
      <c r="B24" s="658" t="s">
        <v>402</v>
      </c>
      <c r="C24" s="334"/>
      <c r="D24" s="335"/>
      <c r="E24" s="341"/>
      <c r="F24" s="247"/>
      <c r="G24" s="247"/>
      <c r="H24" s="335"/>
      <c r="I24" s="349"/>
      <c r="J24" s="350">
        <v>0</v>
      </c>
      <c r="K24" s="25"/>
      <c r="L24" s="247"/>
      <c r="M24" s="247"/>
      <c r="N24" s="293" t="s">
        <v>402</v>
      </c>
    </row>
    <row r="25" spans="1:14" ht="12.75" customHeight="1">
      <c r="A25" s="659" t="s">
        <v>403</v>
      </c>
      <c r="B25" s="660" t="s">
        <v>419</v>
      </c>
      <c r="C25" s="678">
        <f>SUM(C26:C32)</f>
        <v>0</v>
      </c>
      <c r="D25" s="682">
        <v>0</v>
      </c>
      <c r="E25" s="375">
        <f>SUM(E26:E32)</f>
        <v>31390.01</v>
      </c>
      <c r="F25" s="36">
        <f>SUM(F26:F32)</f>
        <v>0</v>
      </c>
      <c r="G25" s="36">
        <f aca="true" t="shared" si="8" ref="G25:G33">E25+F25*D$42</f>
        <v>31390.01</v>
      </c>
      <c r="H25" s="540">
        <f aca="true" t="shared" si="9" ref="H25:H33">G25/G$37</f>
        <v>0.053338466104129255</v>
      </c>
      <c r="I25" s="509">
        <f aca="true" t="shared" si="10" ref="I25:I33">D25*D$41+H25*(1-D$41)</f>
        <v>0.035558977402752844</v>
      </c>
      <c r="J25" s="405">
        <f aca="true" t="shared" si="11" ref="J25:J33">I25*D$40</f>
        <v>3555897.7402752843</v>
      </c>
      <c r="K25" s="25"/>
      <c r="L25" s="260">
        <f>SUM(L26:L32)</f>
        <v>3495858.708674278</v>
      </c>
      <c r="M25" s="256">
        <f>SUM(M26:M32)</f>
        <v>60039.0316010062</v>
      </c>
      <c r="N25" s="293"/>
    </row>
    <row r="26" spans="1:14" ht="12.75" customHeight="1">
      <c r="A26" s="661" t="s">
        <v>405</v>
      </c>
      <c r="B26" s="662" t="s">
        <v>406</v>
      </c>
      <c r="C26" s="679">
        <v>0</v>
      </c>
      <c r="D26" s="683"/>
      <c r="E26" s="1061">
        <v>30860.01</v>
      </c>
      <c r="F26" s="688"/>
      <c r="G26" s="691">
        <f t="shared" si="8"/>
        <v>30860.01</v>
      </c>
      <c r="H26" s="694">
        <f t="shared" si="9"/>
        <v>0.05243788063011416</v>
      </c>
      <c r="I26" s="352">
        <f t="shared" si="10"/>
        <v>0.03495858708674278</v>
      </c>
      <c r="J26" s="353">
        <f t="shared" si="11"/>
        <v>3495858.708674278</v>
      </c>
      <c r="K26" s="25"/>
      <c r="L26" s="815">
        <f>J26</f>
        <v>3495858.708674278</v>
      </c>
      <c r="M26" s="812"/>
      <c r="N26" s="611" t="s">
        <v>406</v>
      </c>
    </row>
    <row r="27" spans="1:14" ht="12.75" customHeight="1">
      <c r="A27" s="663"/>
      <c r="B27" s="664" t="s">
        <v>407</v>
      </c>
      <c r="C27" s="680"/>
      <c r="D27" s="684"/>
      <c r="E27" s="686">
        <v>0</v>
      </c>
      <c r="F27" s="689"/>
      <c r="G27" s="692">
        <f t="shared" si="8"/>
        <v>0</v>
      </c>
      <c r="H27" s="684">
        <f t="shared" si="9"/>
        <v>0</v>
      </c>
      <c r="I27" s="354">
        <f t="shared" si="10"/>
        <v>0</v>
      </c>
      <c r="J27" s="355">
        <f t="shared" si="11"/>
        <v>0</v>
      </c>
      <c r="K27" s="25"/>
      <c r="L27" s="816"/>
      <c r="M27" s="813"/>
      <c r="N27" s="611" t="s">
        <v>407</v>
      </c>
    </row>
    <row r="28" spans="1:14" ht="12.75" customHeight="1">
      <c r="A28" s="663"/>
      <c r="B28" s="664" t="s">
        <v>408</v>
      </c>
      <c r="C28" s="680"/>
      <c r="D28" s="684"/>
      <c r="E28" s="686">
        <v>530</v>
      </c>
      <c r="F28" s="689"/>
      <c r="G28" s="692">
        <f t="shared" si="8"/>
        <v>530</v>
      </c>
      <c r="H28" s="695">
        <f t="shared" si="9"/>
        <v>0.0009005854740150929</v>
      </c>
      <c r="I28" s="510">
        <f t="shared" si="10"/>
        <v>0.000600390316010062</v>
      </c>
      <c r="J28" s="355">
        <f t="shared" si="11"/>
        <v>60039.0316010062</v>
      </c>
      <c r="K28" s="25"/>
      <c r="L28" s="816"/>
      <c r="M28" s="813">
        <f>J28</f>
        <v>60039.0316010062</v>
      </c>
      <c r="N28" s="611" t="s">
        <v>408</v>
      </c>
    </row>
    <row r="29" spans="1:14" ht="12.75" customHeight="1">
      <c r="A29" s="663"/>
      <c r="B29" s="664" t="s">
        <v>409</v>
      </c>
      <c r="C29" s="680"/>
      <c r="D29" s="684"/>
      <c r="E29" s="686"/>
      <c r="F29" s="689"/>
      <c r="G29" s="692">
        <f t="shared" si="8"/>
        <v>0</v>
      </c>
      <c r="H29" s="684">
        <f t="shared" si="9"/>
        <v>0</v>
      </c>
      <c r="I29" s="354">
        <f t="shared" si="10"/>
        <v>0</v>
      </c>
      <c r="J29" s="355">
        <f t="shared" si="11"/>
        <v>0</v>
      </c>
      <c r="K29" s="25"/>
      <c r="L29" s="816"/>
      <c r="M29" s="813"/>
      <c r="N29" s="611" t="s">
        <v>409</v>
      </c>
    </row>
    <row r="30" spans="1:14" ht="12.75" customHeight="1">
      <c r="A30" s="663"/>
      <c r="B30" s="664" t="s">
        <v>411</v>
      </c>
      <c r="C30" s="680"/>
      <c r="D30" s="684"/>
      <c r="E30" s="686"/>
      <c r="F30" s="689"/>
      <c r="G30" s="692">
        <f t="shared" si="8"/>
        <v>0</v>
      </c>
      <c r="H30" s="684">
        <f t="shared" si="9"/>
        <v>0</v>
      </c>
      <c r="I30" s="354">
        <f t="shared" si="10"/>
        <v>0</v>
      </c>
      <c r="J30" s="355">
        <f t="shared" si="11"/>
        <v>0</v>
      </c>
      <c r="K30" s="25"/>
      <c r="L30" s="816"/>
      <c r="M30" s="813"/>
      <c r="N30" s="611" t="s">
        <v>411</v>
      </c>
    </row>
    <row r="31" spans="1:14" ht="12.75" customHeight="1">
      <c r="A31" s="663"/>
      <c r="B31" s="664" t="s">
        <v>412</v>
      </c>
      <c r="C31" s="680"/>
      <c r="D31" s="684"/>
      <c r="E31" s="686"/>
      <c r="F31" s="689"/>
      <c r="G31" s="692">
        <f t="shared" si="8"/>
        <v>0</v>
      </c>
      <c r="H31" s="684">
        <f t="shared" si="9"/>
        <v>0</v>
      </c>
      <c r="I31" s="354">
        <f t="shared" si="10"/>
        <v>0</v>
      </c>
      <c r="J31" s="355">
        <f t="shared" si="11"/>
        <v>0</v>
      </c>
      <c r="K31" s="25"/>
      <c r="L31" s="816"/>
      <c r="M31" s="813"/>
      <c r="N31" s="611" t="s">
        <v>412</v>
      </c>
    </row>
    <row r="32" spans="1:14" ht="12.75" customHeight="1">
      <c r="A32" s="665"/>
      <c r="B32" s="666" t="s">
        <v>413</v>
      </c>
      <c r="C32" s="681"/>
      <c r="D32" s="685"/>
      <c r="E32" s="687"/>
      <c r="F32" s="690"/>
      <c r="G32" s="693">
        <f t="shared" si="8"/>
        <v>0</v>
      </c>
      <c r="H32" s="685">
        <f t="shared" si="9"/>
        <v>0</v>
      </c>
      <c r="I32" s="356">
        <f t="shared" si="10"/>
        <v>0</v>
      </c>
      <c r="J32" s="357">
        <f t="shared" si="11"/>
        <v>0</v>
      </c>
      <c r="K32" s="25"/>
      <c r="L32" s="817"/>
      <c r="M32" s="814"/>
      <c r="N32" s="611" t="s">
        <v>413</v>
      </c>
    </row>
    <row r="33" spans="1:14" ht="9.75">
      <c r="A33" s="651" t="s">
        <v>414</v>
      </c>
      <c r="B33" s="652" t="s">
        <v>415</v>
      </c>
      <c r="C33" s="650">
        <v>15300907</v>
      </c>
      <c r="D33" s="336">
        <f>C33/$C$37</f>
        <v>0.06425267009988948</v>
      </c>
      <c r="E33" s="1062">
        <f>36700-1550</f>
        <v>35150</v>
      </c>
      <c r="F33" s="35">
        <v>50544</v>
      </c>
      <c r="G33" s="45">
        <f t="shared" si="8"/>
        <v>45258.8</v>
      </c>
      <c r="H33" s="342">
        <f t="shared" si="9"/>
        <v>0.07690456198368734</v>
      </c>
      <c r="I33" s="358">
        <f t="shared" si="10"/>
        <v>0.07268726468908807</v>
      </c>
      <c r="J33" s="351">
        <f t="shared" si="11"/>
        <v>7268726.468908806</v>
      </c>
      <c r="K33" s="25"/>
      <c r="L33" s="815">
        <f>J33</f>
        <v>7268726.468908806</v>
      </c>
      <c r="M33" s="262"/>
      <c r="N33" s="293" t="s">
        <v>415</v>
      </c>
    </row>
    <row r="34" spans="1:14" ht="12.75" customHeight="1">
      <c r="A34" s="657" t="s">
        <v>416</v>
      </c>
      <c r="B34" s="658" t="s">
        <v>417</v>
      </c>
      <c r="C34" s="334">
        <v>0</v>
      </c>
      <c r="D34" s="338"/>
      <c r="E34" s="343"/>
      <c r="F34" s="249"/>
      <c r="G34" s="249"/>
      <c r="H34" s="338"/>
      <c r="I34" s="359"/>
      <c r="J34" s="360">
        <v>0</v>
      </c>
      <c r="K34" s="25"/>
      <c r="L34" s="249"/>
      <c r="M34" s="249"/>
      <c r="N34" s="293" t="s">
        <v>417</v>
      </c>
    </row>
    <row r="35" spans="1:14" ht="12.75" customHeight="1">
      <c r="A35" s="651" t="s">
        <v>570</v>
      </c>
      <c r="B35" s="652" t="s">
        <v>571</v>
      </c>
      <c r="C35" s="650">
        <v>18646858</v>
      </c>
      <c r="D35" s="336">
        <f>C35/$C$37</f>
        <v>0.07830322839511965</v>
      </c>
      <c r="E35" s="1062">
        <v>36103</v>
      </c>
      <c r="F35" s="35"/>
      <c r="G35" s="35">
        <f>E35+F35*D$42</f>
        <v>36103</v>
      </c>
      <c r="H35" s="511">
        <f>G35/G$37</f>
        <v>0.061346862959182825</v>
      </c>
      <c r="I35" s="512">
        <f>D35*D$41+H35*(1-D$41)</f>
        <v>0.06699898477116177</v>
      </c>
      <c r="J35" s="351">
        <f>I35*D$40</f>
        <v>6699898.477116177</v>
      </c>
      <c r="K35" s="25"/>
      <c r="L35" s="815">
        <f>J35</f>
        <v>6699898.477116177</v>
      </c>
      <c r="M35" s="256"/>
      <c r="N35" s="293" t="s">
        <v>571</v>
      </c>
    </row>
    <row r="36" spans="1:14" ht="12.75" customHeight="1">
      <c r="A36" s="651" t="s">
        <v>649</v>
      </c>
      <c r="B36" s="652" t="s">
        <v>410</v>
      </c>
      <c r="C36" s="650">
        <v>0</v>
      </c>
      <c r="D36" s="337"/>
      <c r="E36" s="686">
        <v>612</v>
      </c>
      <c r="F36" s="35"/>
      <c r="G36" s="67">
        <f>E36+F36*D$42</f>
        <v>612</v>
      </c>
      <c r="H36" s="1060">
        <f>G36/G$37</f>
        <v>0.0010399213398061074</v>
      </c>
      <c r="I36" s="510">
        <f>D36*D$41+H36*(1-D$41)</f>
        <v>0.0006932808932040717</v>
      </c>
      <c r="J36" s="355">
        <f>I36*D$40</f>
        <v>69328.08932040716</v>
      </c>
      <c r="K36" s="25"/>
      <c r="L36" s="815">
        <f>J36</f>
        <v>69328.08932040716</v>
      </c>
      <c r="M36" s="256"/>
      <c r="N36" s="293" t="s">
        <v>410</v>
      </c>
    </row>
    <row r="37" spans="1:14" ht="12.75" customHeight="1" thickBot="1">
      <c r="A37" s="667" t="s">
        <v>375</v>
      </c>
      <c r="B37" s="668"/>
      <c r="C37" s="539">
        <f aca="true" t="shared" si="12" ref="C37:J37">C22+C24+C25+SUM(C33:C36)</f>
        <v>238136515.98000002</v>
      </c>
      <c r="D37" s="339">
        <f t="shared" si="12"/>
        <v>1</v>
      </c>
      <c r="E37" s="344">
        <f t="shared" si="12"/>
        <v>570589.45</v>
      </c>
      <c r="F37" s="345">
        <f t="shared" si="12"/>
        <v>89583</v>
      </c>
      <c r="G37" s="345">
        <f t="shared" si="12"/>
        <v>588506.05</v>
      </c>
      <c r="H37" s="346">
        <f t="shared" si="12"/>
        <v>0.9999999999999999</v>
      </c>
      <c r="I37" s="361">
        <f t="shared" si="12"/>
        <v>1</v>
      </c>
      <c r="J37" s="362">
        <f t="shared" si="12"/>
        <v>99999999.99999999</v>
      </c>
      <c r="K37" s="25"/>
      <c r="L37" s="251">
        <f>L22+L24+L25+SUM(L33:L36)</f>
        <v>68877000.00001967</v>
      </c>
      <c r="M37" s="252">
        <f>M22+M24+M25+SUM(M33:M36)</f>
        <v>31122999.99998033</v>
      </c>
      <c r="N37" s="264">
        <f>SUM(L37:M37)</f>
        <v>100000000</v>
      </c>
    </row>
    <row r="38" spans="2:10" s="25" customFormat="1" ht="12.75" customHeight="1">
      <c r="B38" s="76"/>
      <c r="C38" s="77">
        <v>27184560</v>
      </c>
      <c r="D38" s="77"/>
      <c r="E38" s="77"/>
      <c r="F38" s="77"/>
      <c r="G38" s="77"/>
      <c r="H38" s="77"/>
      <c r="I38" s="77"/>
      <c r="J38" s="77"/>
    </row>
    <row r="39" spans="2:10" s="25" customFormat="1" ht="12.75" customHeight="1">
      <c r="B39" s="76"/>
      <c r="C39" s="77"/>
      <c r="D39" s="77"/>
      <c r="E39" s="77"/>
      <c r="F39" s="77"/>
      <c r="G39" t="s">
        <v>1244</v>
      </c>
      <c r="H39"/>
      <c r="I39"/>
      <c r="J39"/>
    </row>
    <row r="40" spans="1:10" s="25" customFormat="1" ht="12.75" customHeight="1">
      <c r="A40" s="1236" t="s">
        <v>484</v>
      </c>
      <c r="B40" s="1236"/>
      <c r="C40" s="1236"/>
      <c r="D40" s="36">
        <v>100000000</v>
      </c>
      <c r="E40" s="42"/>
      <c r="F40" s="42"/>
      <c r="G40" s="1236" t="s">
        <v>577</v>
      </c>
      <c r="H40" s="1236"/>
      <c r="I40" s="1236"/>
      <c r="J40" s="36">
        <f>J41+J42</f>
        <v>82406149.22437933</v>
      </c>
    </row>
    <row r="41" spans="1:10" s="25" customFormat="1" ht="12.75" customHeight="1">
      <c r="A41" s="1236" t="s">
        <v>650</v>
      </c>
      <c r="B41" s="1236"/>
      <c r="C41" s="1236"/>
      <c r="D41" s="250">
        <v>0.3333333333333333</v>
      </c>
      <c r="E41" s="42"/>
      <c r="F41" s="42"/>
      <c r="G41" s="1237" t="s">
        <v>374</v>
      </c>
      <c r="H41" s="1237"/>
      <c r="I41" s="1237"/>
      <c r="J41" s="251">
        <f>D45-SUM(L25,L33,L35:L36)</f>
        <v>51343188.255980335</v>
      </c>
    </row>
    <row r="42" spans="1:10" s="25" customFormat="1" ht="12.75" customHeight="1">
      <c r="A42" s="1236" t="s">
        <v>573</v>
      </c>
      <c r="B42" s="1236"/>
      <c r="C42" s="1236"/>
      <c r="D42" s="240">
        <v>0.2</v>
      </c>
      <c r="E42" s="42"/>
      <c r="F42" s="42"/>
      <c r="G42" s="1238" t="s">
        <v>576</v>
      </c>
      <c r="H42" s="1238"/>
      <c r="I42" s="1238"/>
      <c r="J42" s="252">
        <f>D46-M25</f>
        <v>31062960.968398992</v>
      </c>
    </row>
    <row r="43" spans="2:10" s="25" customFormat="1" ht="9.75">
      <c r="B43" s="76"/>
      <c r="C43" s="77"/>
      <c r="D43" s="77"/>
      <c r="E43" s="42"/>
      <c r="F43" s="42"/>
      <c r="G43" s="1236" t="s">
        <v>656</v>
      </c>
      <c r="H43" s="1236"/>
      <c r="I43" s="1236"/>
      <c r="J43" s="515">
        <f>J41/(J41+J42)</f>
        <v>0.6230504487739221</v>
      </c>
    </row>
    <row r="44" spans="1:4" ht="12.75" customHeight="1">
      <c r="A44" s="1236" t="s">
        <v>484</v>
      </c>
      <c r="B44" s="1236"/>
      <c r="C44" s="1236"/>
      <c r="D44" s="36">
        <f>SUM(D45:D46)</f>
        <v>100000000</v>
      </c>
    </row>
    <row r="45" spans="1:4" ht="12.75" customHeight="1">
      <c r="A45" s="1237" t="s">
        <v>374</v>
      </c>
      <c r="B45" s="1237"/>
      <c r="C45" s="1237"/>
      <c r="D45" s="251">
        <f>Bilance!C58</f>
        <v>68877000</v>
      </c>
    </row>
    <row r="46" spans="1:4" ht="12.75" customHeight="1">
      <c r="A46" s="1238" t="s">
        <v>576</v>
      </c>
      <c r="B46" s="1238"/>
      <c r="C46" s="1238"/>
      <c r="D46" s="252">
        <f>Bilance!C59</f>
        <v>31123000</v>
      </c>
    </row>
    <row r="47" spans="1:4" ht="12.75" customHeight="1">
      <c r="A47" s="25"/>
      <c r="B47" s="76"/>
      <c r="C47" s="77"/>
      <c r="D47" s="77"/>
    </row>
  </sheetData>
  <sheetProtection/>
  <mergeCells count="11">
    <mergeCell ref="A3:B3"/>
    <mergeCell ref="A44:C44"/>
    <mergeCell ref="A45:C45"/>
    <mergeCell ref="A46:C46"/>
    <mergeCell ref="G40:I40"/>
    <mergeCell ref="G41:I41"/>
    <mergeCell ref="G42:I42"/>
    <mergeCell ref="G43:I43"/>
    <mergeCell ref="A40:C40"/>
    <mergeCell ref="A41:C41"/>
    <mergeCell ref="A42:C42"/>
  </mergeCells>
  <conditionalFormatting sqref="E37:G37">
    <cfRule type="cellIs" priority="7" dxfId="25" operator="notEqual" stopIfTrue="1">
      <formula>NA()</formula>
    </cfRule>
  </conditionalFormatting>
  <conditionalFormatting sqref="C37">
    <cfRule type="cellIs" priority="8" dxfId="25" operator="notEqual" stopIfTrue="1">
      <formula>NA()</formula>
    </cfRule>
  </conditionalFormatting>
  <conditionalFormatting sqref="L37:M37">
    <cfRule type="cellIs" priority="1" dxfId="25" operator="notEqual" stopIfTrue="1">
      <formula>NA()</formula>
    </cfRule>
  </conditionalFormatting>
  <printOptions/>
  <pageMargins left="0.5511811023622047" right="0.5118110236220472" top="0.9055118110236221" bottom="0.5905511811023623" header="0.4724409448818898" footer="0.5118110236220472"/>
  <pageSetup fitToHeight="1" fitToWidth="1" horizontalDpi="600" verticalDpi="600" orientation="landscape" paperSize="9" scale="83" r:id="rId3"/>
  <headerFooter alignWithMargins="0">
    <oddHeader>&amp;C&amp;18&amp;A</oddHeader>
    <oddFooter>&amp;C&amp;F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67"/>
  <sheetViews>
    <sheetView workbookViewId="0" topLeftCell="A1">
      <pane xSplit="2" ySplit="3" topLeftCell="C3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25" sqref="C25"/>
    </sheetView>
  </sheetViews>
  <sheetFormatPr defaultColWidth="9.33203125" defaultRowHeight="10.5"/>
  <cols>
    <col min="1" max="1" width="28.5" style="0" customWidth="1"/>
    <col min="2" max="2" width="17.16015625" style="0" bestFit="1" customWidth="1"/>
    <col min="3" max="3" width="18.83203125" style="0" customWidth="1"/>
    <col min="4" max="4" width="3.66015625" style="0" customWidth="1"/>
    <col min="5" max="5" width="19.83203125" style="0" customWidth="1"/>
    <col min="6" max="6" width="22.16015625" style="0" customWidth="1"/>
    <col min="7" max="7" width="17.5" style="0" bestFit="1" customWidth="1"/>
    <col min="10" max="10" width="24.16015625" style="0" bestFit="1" customWidth="1"/>
    <col min="11" max="11" width="15.66015625" style="0" bestFit="1" customWidth="1"/>
    <col min="13" max="13" width="10.33203125" style="0" bestFit="1" customWidth="1"/>
    <col min="14" max="14" width="14" style="0" bestFit="1" customWidth="1"/>
    <col min="16" max="16" width="12.66015625" style="0" bestFit="1" customWidth="1"/>
    <col min="18" max="18" width="10.16015625" style="0" bestFit="1" customWidth="1"/>
  </cols>
  <sheetData>
    <row r="2" ht="9.75">
      <c r="I2" s="1"/>
    </row>
    <row r="3" spans="1:5" ht="40.5" customHeight="1">
      <c r="A3" s="1241" t="s">
        <v>766</v>
      </c>
      <c r="B3" s="1241"/>
      <c r="C3" s="225" t="s">
        <v>1292</v>
      </c>
      <c r="D3" s="241"/>
      <c r="E3" s="225" t="s">
        <v>770</v>
      </c>
    </row>
    <row r="4" spans="1:5" ht="14.25">
      <c r="A4" s="223" t="s">
        <v>376</v>
      </c>
      <c r="B4" s="221" t="s">
        <v>371</v>
      </c>
      <c r="C4" s="232">
        <f>ROUND((E4/$E$37)*$B$41,0)</f>
        <v>0</v>
      </c>
      <c r="D4" s="241"/>
      <c r="E4" s="234"/>
    </row>
    <row r="5" spans="1:5" ht="14.25">
      <c r="A5" s="223" t="s">
        <v>377</v>
      </c>
      <c r="B5" s="221" t="s">
        <v>68</v>
      </c>
      <c r="C5" s="232">
        <f aca="true" t="shared" si="0" ref="C5:C21">ROUND((E5/$E$37)*$B$41,0)</f>
        <v>0</v>
      </c>
      <c r="D5" s="241"/>
      <c r="E5" s="234"/>
    </row>
    <row r="6" spans="1:5" ht="14.25">
      <c r="A6" s="223" t="s">
        <v>378</v>
      </c>
      <c r="B6" s="221" t="s">
        <v>372</v>
      </c>
      <c r="C6" s="232">
        <f t="shared" si="0"/>
        <v>0</v>
      </c>
      <c r="D6" s="241"/>
      <c r="E6" s="234"/>
    </row>
    <row r="7" spans="1:5" ht="14.25">
      <c r="A7" s="223" t="s">
        <v>379</v>
      </c>
      <c r="B7" s="221" t="s">
        <v>42</v>
      </c>
      <c r="C7" s="232">
        <f t="shared" si="0"/>
        <v>0</v>
      </c>
      <c r="D7" s="241"/>
      <c r="E7" s="234"/>
    </row>
    <row r="8" spans="1:5" ht="14.25">
      <c r="A8" s="229" t="s">
        <v>380</v>
      </c>
      <c r="B8" s="230" t="s">
        <v>8</v>
      </c>
      <c r="C8" s="232">
        <f t="shared" si="0"/>
        <v>5087202</v>
      </c>
      <c r="D8" s="241"/>
      <c r="E8" s="565">
        <f>B47/3+B48/5*1</f>
        <v>765333333.3333333</v>
      </c>
    </row>
    <row r="9" spans="1:5" ht="14.25">
      <c r="A9" s="229" t="s">
        <v>381</v>
      </c>
      <c r="B9" s="230" t="s">
        <v>22</v>
      </c>
      <c r="C9" s="232">
        <f t="shared" si="0"/>
        <v>0</v>
      </c>
      <c r="D9" s="241"/>
      <c r="E9" s="234"/>
    </row>
    <row r="10" spans="1:5" ht="14.25">
      <c r="A10" s="229" t="s">
        <v>382</v>
      </c>
      <c r="B10" s="230" t="s">
        <v>21</v>
      </c>
      <c r="C10" s="232">
        <f t="shared" si="0"/>
        <v>0</v>
      </c>
      <c r="D10" s="241"/>
      <c r="E10" s="234"/>
    </row>
    <row r="11" spans="1:5" ht="14.25">
      <c r="A11" s="229" t="s">
        <v>383</v>
      </c>
      <c r="B11" s="230" t="s">
        <v>23</v>
      </c>
      <c r="C11" s="232">
        <f t="shared" si="0"/>
        <v>16194114</v>
      </c>
      <c r="D11" s="241"/>
      <c r="E11" s="234">
        <f>B45+B46+B57</f>
        <v>2436289272</v>
      </c>
    </row>
    <row r="12" spans="1:5" ht="14.25">
      <c r="A12" s="229" t="s">
        <v>384</v>
      </c>
      <c r="B12" s="230" t="s">
        <v>24</v>
      </c>
      <c r="C12" s="232">
        <f t="shared" si="0"/>
        <v>2851135</v>
      </c>
      <c r="D12" s="241"/>
      <c r="E12" s="234">
        <f>B44/2</f>
        <v>428932925</v>
      </c>
    </row>
    <row r="13" spans="1:5" ht="14.25">
      <c r="A13" s="229" t="s">
        <v>385</v>
      </c>
      <c r="B13" s="230" t="s">
        <v>31</v>
      </c>
      <c r="C13" s="232">
        <f t="shared" si="0"/>
        <v>2851135</v>
      </c>
      <c r="D13" s="241"/>
      <c r="E13" s="234">
        <f>B44/2</f>
        <v>428932925</v>
      </c>
    </row>
    <row r="14" spans="1:5" ht="14.25">
      <c r="A14" s="229" t="s">
        <v>386</v>
      </c>
      <c r="B14" s="230" t="s">
        <v>37</v>
      </c>
      <c r="C14" s="232">
        <f t="shared" si="0"/>
        <v>0</v>
      </c>
      <c r="D14" s="241"/>
      <c r="E14" s="234"/>
    </row>
    <row r="15" spans="1:5" ht="14.25">
      <c r="A15" s="229" t="s">
        <v>387</v>
      </c>
      <c r="B15" s="230" t="s">
        <v>72</v>
      </c>
      <c r="C15" s="232">
        <f t="shared" si="0"/>
        <v>13375718</v>
      </c>
      <c r="D15" s="241"/>
      <c r="E15" s="565">
        <f>B47/3*2+B48/5*3+B56</f>
        <v>2012281666.6666665</v>
      </c>
    </row>
    <row r="16" spans="1:5" ht="14.25">
      <c r="A16" s="229" t="s">
        <v>388</v>
      </c>
      <c r="B16" s="230" t="s">
        <v>81</v>
      </c>
      <c r="C16" s="232">
        <f t="shared" si="0"/>
        <v>5288201</v>
      </c>
      <c r="D16" s="241"/>
      <c r="E16" s="565">
        <f>B48/5*1+B50</f>
        <v>795572221</v>
      </c>
    </row>
    <row r="17" spans="1:5" ht="14.25">
      <c r="A17" s="229" t="s">
        <v>389</v>
      </c>
      <c r="B17" s="230" t="s">
        <v>87</v>
      </c>
      <c r="C17" s="232">
        <f t="shared" si="0"/>
        <v>0</v>
      </c>
      <c r="D17" s="241"/>
      <c r="E17" s="234"/>
    </row>
    <row r="18" spans="1:5" ht="14.25">
      <c r="A18" s="223" t="s">
        <v>390</v>
      </c>
      <c r="B18" s="221" t="s">
        <v>45</v>
      </c>
      <c r="C18" s="232">
        <f t="shared" si="0"/>
        <v>5583514</v>
      </c>
      <c r="D18" s="241"/>
      <c r="E18" s="234">
        <f>B53</f>
        <v>840000000</v>
      </c>
    </row>
    <row r="19" spans="1:6" ht="14.25">
      <c r="A19" s="223" t="s">
        <v>391</v>
      </c>
      <c r="B19" s="221" t="s">
        <v>94</v>
      </c>
      <c r="C19" s="232">
        <f t="shared" si="0"/>
        <v>6885005</v>
      </c>
      <c r="D19" s="241"/>
      <c r="E19" s="234">
        <f>B51</f>
        <v>1035800000</v>
      </c>
      <c r="F19" s="219"/>
    </row>
    <row r="20" spans="1:6" ht="14.25">
      <c r="A20" s="223" t="s">
        <v>392</v>
      </c>
      <c r="B20" s="221" t="s">
        <v>58</v>
      </c>
      <c r="C20" s="232">
        <f t="shared" si="0"/>
        <v>4873865</v>
      </c>
      <c r="D20" s="241"/>
      <c r="E20" s="234">
        <f>B49</f>
        <v>733238315</v>
      </c>
      <c r="F20" s="219"/>
    </row>
    <row r="21" spans="1:6" ht="14.25">
      <c r="A21" s="229" t="s">
        <v>393</v>
      </c>
      <c r="B21" s="230" t="s">
        <v>373</v>
      </c>
      <c r="C21" s="232">
        <f t="shared" si="0"/>
        <v>0</v>
      </c>
      <c r="D21" s="241"/>
      <c r="E21" s="565"/>
      <c r="F21" s="219"/>
    </row>
    <row r="22" spans="1:6" ht="14.25">
      <c r="A22" s="231" t="s">
        <v>421</v>
      </c>
      <c r="B22" s="220"/>
      <c r="C22" s="233">
        <f>SUM(C4:C21)</f>
        <v>62989889</v>
      </c>
      <c r="D22" s="241"/>
      <c r="E22" s="235">
        <f>SUM(E4:E21)</f>
        <v>9476380658</v>
      </c>
      <c r="F22" s="219"/>
    </row>
    <row r="23" spans="1:12" s="16" customFormat="1" ht="14.25">
      <c r="A23" s="459"/>
      <c r="B23" s="460"/>
      <c r="C23" s="461"/>
      <c r="D23" s="241"/>
      <c r="E23" s="462"/>
      <c r="F23" s="238"/>
      <c r="H23"/>
      <c r="I23"/>
      <c r="J23"/>
      <c r="K23"/>
      <c r="L23"/>
    </row>
    <row r="24" spans="1:6" ht="14.25">
      <c r="A24" s="501" t="s">
        <v>401</v>
      </c>
      <c r="B24" s="502" t="s">
        <v>402</v>
      </c>
      <c r="C24" s="504">
        <f>ROUND((E24/$E$37)*$B$41,0)</f>
        <v>0</v>
      </c>
      <c r="D24" s="241"/>
      <c r="E24" s="504"/>
      <c r="F24" s="219"/>
    </row>
    <row r="25" spans="1:6" ht="14.25">
      <c r="A25" s="13" t="s">
        <v>403</v>
      </c>
      <c r="B25" s="27" t="s">
        <v>419</v>
      </c>
      <c r="C25" s="232">
        <f>SUM(C26:C32)</f>
        <v>3010111</v>
      </c>
      <c r="D25" s="241"/>
      <c r="E25" s="232">
        <f>SUM(E26:E32)</f>
        <v>452850000</v>
      </c>
      <c r="F25" s="241"/>
    </row>
    <row r="26" spans="1:6" ht="14.25">
      <c r="A26" s="54" t="s">
        <v>405</v>
      </c>
      <c r="B26" s="330" t="s">
        <v>406</v>
      </c>
      <c r="C26" s="232">
        <f aca="true" t="shared" si="1" ref="C26:C36">ROUND((E26/$E$37)*$B$41,0)</f>
        <v>0</v>
      </c>
      <c r="D26" s="241"/>
      <c r="E26" s="234"/>
      <c r="F26" s="241"/>
    </row>
    <row r="27" spans="1:6" ht="14.25">
      <c r="A27" s="55"/>
      <c r="B27" s="331" t="s">
        <v>407</v>
      </c>
      <c r="C27" s="232">
        <f t="shared" si="1"/>
        <v>0</v>
      </c>
      <c r="D27" s="241"/>
      <c r="E27" s="234"/>
      <c r="F27" s="241"/>
    </row>
    <row r="28" spans="1:6" ht="14.25">
      <c r="A28" s="55"/>
      <c r="B28" s="331" t="s">
        <v>408</v>
      </c>
      <c r="C28" s="232">
        <f t="shared" si="1"/>
        <v>0</v>
      </c>
      <c r="D28" s="241"/>
      <c r="E28" s="234"/>
      <c r="F28" s="241"/>
    </row>
    <row r="29" spans="1:6" ht="14.25">
      <c r="A29" s="55"/>
      <c r="B29" s="331" t="s">
        <v>409</v>
      </c>
      <c r="C29" s="232">
        <f t="shared" si="1"/>
        <v>0</v>
      </c>
      <c r="D29" s="241"/>
      <c r="E29" s="234"/>
      <c r="F29" s="241"/>
    </row>
    <row r="30" spans="1:6" ht="14.25">
      <c r="A30" s="55"/>
      <c r="B30" s="331" t="s">
        <v>411</v>
      </c>
      <c r="C30" s="232">
        <f>ROUND((E30/$E$37)*$B$41,0)-1</f>
        <v>3010111</v>
      </c>
      <c r="D30" s="241"/>
      <c r="E30" s="234">
        <f>B52</f>
        <v>452850000</v>
      </c>
      <c r="F30" s="241"/>
    </row>
    <row r="31" spans="1:6" ht="14.25">
      <c r="A31" s="55"/>
      <c r="B31" s="331" t="s">
        <v>412</v>
      </c>
      <c r="C31" s="232">
        <f t="shared" si="1"/>
        <v>0</v>
      </c>
      <c r="D31" s="241"/>
      <c r="E31" s="234"/>
      <c r="F31" s="241"/>
    </row>
    <row r="32" spans="1:6" ht="14.25">
      <c r="A32" s="57"/>
      <c r="B32" s="332" t="s">
        <v>413</v>
      </c>
      <c r="C32" s="232">
        <f t="shared" si="1"/>
        <v>0</v>
      </c>
      <c r="D32" s="241"/>
      <c r="E32" s="234"/>
      <c r="F32" s="241"/>
    </row>
    <row r="33" spans="1:6" ht="14.25">
      <c r="A33" s="13" t="s">
        <v>414</v>
      </c>
      <c r="B33" s="27" t="s">
        <v>433</v>
      </c>
      <c r="C33" s="232">
        <f t="shared" si="1"/>
        <v>0</v>
      </c>
      <c r="D33" s="241"/>
      <c r="E33" s="234"/>
      <c r="F33" s="241"/>
    </row>
    <row r="34" spans="1:6" ht="14.25">
      <c r="A34" s="501" t="s">
        <v>416</v>
      </c>
      <c r="B34" s="502" t="s">
        <v>417</v>
      </c>
      <c r="C34" s="503">
        <f t="shared" si="1"/>
        <v>0</v>
      </c>
      <c r="D34" s="241"/>
      <c r="E34" s="504"/>
      <c r="F34" s="241"/>
    </row>
    <row r="35" spans="1:6" ht="14.25">
      <c r="A35" s="13" t="s">
        <v>570</v>
      </c>
      <c r="B35" s="27" t="s">
        <v>571</v>
      </c>
      <c r="C35" s="232">
        <f t="shared" si="1"/>
        <v>0</v>
      </c>
      <c r="D35" s="241"/>
      <c r="E35" s="234"/>
      <c r="F35" s="241"/>
    </row>
    <row r="36" spans="1:6" ht="14.25">
      <c r="A36" s="13" t="s">
        <v>649</v>
      </c>
      <c r="B36" s="27" t="s">
        <v>410</v>
      </c>
      <c r="C36" s="232">
        <f t="shared" si="1"/>
        <v>0</v>
      </c>
      <c r="D36" s="241"/>
      <c r="E36" s="234"/>
      <c r="F36" s="241"/>
    </row>
    <row r="37" spans="1:6" ht="14.25">
      <c r="A37" s="15" t="s">
        <v>375</v>
      </c>
      <c r="B37" s="27"/>
      <c r="C37" s="463">
        <f>C22+C24+C25+C33+C34+C35+C36</f>
        <v>66000000</v>
      </c>
      <c r="D37" s="241"/>
      <c r="E37" s="463">
        <f>E22+E24+E25+E33+E34+E35</f>
        <v>9929230658</v>
      </c>
      <c r="F37" s="241"/>
    </row>
    <row r="38" spans="1:8" ht="9" customHeight="1">
      <c r="A38" s="241"/>
      <c r="B38" s="239"/>
      <c r="C38" s="239"/>
      <c r="D38" s="241"/>
      <c r="E38" s="241"/>
      <c r="F38" s="241"/>
      <c r="G38" s="241"/>
      <c r="H38" s="241"/>
    </row>
    <row r="39" spans="2:3" ht="9" customHeight="1">
      <c r="B39" s="369"/>
      <c r="C39" s="369"/>
    </row>
    <row r="40" spans="1:3" ht="33" customHeight="1">
      <c r="A40" s="1242" t="s">
        <v>1291</v>
      </c>
      <c r="B40" s="1243"/>
      <c r="C40" s="369"/>
    </row>
    <row r="41" spans="1:3" ht="21.75" customHeight="1">
      <c r="A41" s="1111" t="s">
        <v>485</v>
      </c>
      <c r="B41" s="1110">
        <v>66000000</v>
      </c>
      <c r="C41" s="369"/>
    </row>
    <row r="42" ht="14.25" customHeight="1">
      <c r="G42" s="1120"/>
    </row>
    <row r="43" spans="1:16" ht="14.25">
      <c r="A43" s="1109" t="s">
        <v>769</v>
      </c>
      <c r="B43" s="1050" t="s">
        <v>771</v>
      </c>
      <c r="C43" s="1057"/>
      <c r="D43" s="228"/>
      <c r="F43" s="1142"/>
      <c r="G43" s="1141"/>
      <c r="H43" s="385"/>
      <c r="I43" s="385"/>
      <c r="J43" s="385"/>
      <c r="P43" s="99"/>
    </row>
    <row r="44" spans="1:22" ht="14.25">
      <c r="A44" s="226" t="s">
        <v>427</v>
      </c>
      <c r="B44" s="224">
        <v>857865850</v>
      </c>
      <c r="C44" s="222" t="s">
        <v>591</v>
      </c>
      <c r="E44" s="222"/>
      <c r="F44" s="222"/>
      <c r="G44" s="222"/>
      <c r="H44" s="385"/>
      <c r="I44" s="385"/>
      <c r="J44" s="222"/>
      <c r="P44" s="7"/>
      <c r="R44" s="7"/>
      <c r="T44" s="382"/>
      <c r="V44" s="368"/>
    </row>
    <row r="45" spans="1:22" ht="14.25">
      <c r="A45" s="226" t="s">
        <v>426</v>
      </c>
      <c r="B45" s="224">
        <v>2009961290</v>
      </c>
      <c r="C45" s="222" t="s">
        <v>23</v>
      </c>
      <c r="E45" s="222"/>
      <c r="F45" s="222"/>
      <c r="G45" s="222"/>
      <c r="H45" s="385"/>
      <c r="I45" s="385"/>
      <c r="J45" s="222"/>
      <c r="P45" s="7"/>
      <c r="R45" s="7"/>
      <c r="T45" s="383"/>
      <c r="V45" s="383"/>
    </row>
    <row r="46" spans="1:22" ht="14.25">
      <c r="A46" s="226" t="s">
        <v>429</v>
      </c>
      <c r="B46" s="224">
        <v>410133782</v>
      </c>
      <c r="C46" s="222" t="s">
        <v>23</v>
      </c>
      <c r="E46" s="222"/>
      <c r="F46" s="222"/>
      <c r="G46" s="222"/>
      <c r="H46" s="385"/>
      <c r="I46" s="385"/>
      <c r="J46" s="222"/>
      <c r="P46" s="7"/>
      <c r="R46" s="7"/>
      <c r="T46" s="383"/>
      <c r="V46" s="383"/>
    </row>
    <row r="47" spans="1:18" ht="12">
      <c r="A47" s="226" t="s">
        <v>430</v>
      </c>
      <c r="B47" s="224">
        <v>880000000</v>
      </c>
      <c r="C47" s="222" t="s">
        <v>592</v>
      </c>
      <c r="E47" s="222"/>
      <c r="F47" s="222"/>
      <c r="G47" s="222"/>
      <c r="H47" s="385"/>
      <c r="I47" s="385"/>
      <c r="J47" s="222"/>
      <c r="P47" s="7"/>
      <c r="R47" s="7"/>
    </row>
    <row r="48" spans="1:18" ht="12">
      <c r="A48" s="226" t="s">
        <v>425</v>
      </c>
      <c r="B48" s="224">
        <v>2360000000</v>
      </c>
      <c r="C48" s="1055" t="s">
        <v>672</v>
      </c>
      <c r="E48" s="1055"/>
      <c r="F48" s="222"/>
      <c r="G48" s="1055"/>
      <c r="H48" s="385"/>
      <c r="I48" s="385"/>
      <c r="J48" s="222"/>
      <c r="P48" s="7"/>
      <c r="R48" s="7"/>
    </row>
    <row r="49" spans="1:18" ht="12">
      <c r="A49" s="226" t="s">
        <v>428</v>
      </c>
      <c r="B49" s="224">
        <v>733238315</v>
      </c>
      <c r="C49" s="222" t="s">
        <v>58</v>
      </c>
      <c r="E49" s="222"/>
      <c r="F49" s="222"/>
      <c r="G49" s="222"/>
      <c r="H49" s="385"/>
      <c r="I49" s="385"/>
      <c r="J49" s="222"/>
      <c r="P49" s="7"/>
      <c r="R49" s="7"/>
    </row>
    <row r="50" spans="1:18" ht="12">
      <c r="A50" s="226" t="s">
        <v>483</v>
      </c>
      <c r="B50" s="224">
        <v>323572221</v>
      </c>
      <c r="C50" s="222" t="s">
        <v>81</v>
      </c>
      <c r="E50" s="222"/>
      <c r="F50" s="222"/>
      <c r="G50" s="222"/>
      <c r="H50" s="385"/>
      <c r="I50" s="385"/>
      <c r="J50" s="222"/>
      <c r="P50" s="7"/>
      <c r="R50" s="7"/>
    </row>
    <row r="51" spans="1:18" ht="12">
      <c r="A51" s="226" t="s">
        <v>645</v>
      </c>
      <c r="B51" s="224">
        <v>1035800000</v>
      </c>
      <c r="C51" s="222" t="s">
        <v>94</v>
      </c>
      <c r="F51" s="222"/>
      <c r="G51" s="222"/>
      <c r="H51" s="385"/>
      <c r="I51" s="385"/>
      <c r="J51" s="222"/>
      <c r="P51" s="7"/>
      <c r="R51" s="7"/>
    </row>
    <row r="52" spans="1:18" ht="12">
      <c r="A52" s="226" t="s">
        <v>646</v>
      </c>
      <c r="B52" s="224">
        <v>452850000</v>
      </c>
      <c r="C52" s="222" t="s">
        <v>443</v>
      </c>
      <c r="F52" s="222"/>
      <c r="G52" s="222"/>
      <c r="H52" s="385"/>
      <c r="I52" s="385"/>
      <c r="J52" s="222"/>
      <c r="P52" s="7"/>
      <c r="R52" s="7"/>
    </row>
    <row r="53" spans="1:18" ht="12">
      <c r="A53" s="226" t="s">
        <v>694</v>
      </c>
      <c r="B53" s="224">
        <v>840000000</v>
      </c>
      <c r="C53" s="222" t="s">
        <v>45</v>
      </c>
      <c r="F53" s="222"/>
      <c r="G53" s="222"/>
      <c r="H53" s="385"/>
      <c r="I53" s="385"/>
      <c r="J53" s="222"/>
      <c r="P53" s="7"/>
      <c r="R53" s="7"/>
    </row>
    <row r="54" spans="1:18" ht="14.25">
      <c r="A54" s="222"/>
      <c r="B54" s="222"/>
      <c r="C54" s="222"/>
      <c r="D54" s="222"/>
      <c r="E54" s="222"/>
      <c r="F54" s="222"/>
      <c r="G54" s="227"/>
      <c r="H54" s="385"/>
      <c r="I54" s="385"/>
      <c r="J54" s="385"/>
      <c r="P54" s="7"/>
      <c r="R54" s="7"/>
    </row>
    <row r="55" spans="1:6" ht="14.25">
      <c r="A55" s="1056" t="s">
        <v>1234</v>
      </c>
      <c r="B55" s="1050" t="s">
        <v>771</v>
      </c>
      <c r="C55" s="222"/>
      <c r="F55" s="59"/>
    </row>
    <row r="56" spans="1:3" ht="12">
      <c r="A56" s="226" t="s">
        <v>767</v>
      </c>
      <c r="B56" s="224">
        <v>9615000</v>
      </c>
      <c r="C56" s="222" t="s">
        <v>1235</v>
      </c>
    </row>
    <row r="57" spans="1:3" ht="12">
      <c r="A57" s="226" t="s">
        <v>768</v>
      </c>
      <c r="B57" s="224">
        <v>16194200</v>
      </c>
      <c r="C57" s="222" t="s">
        <v>1236</v>
      </c>
    </row>
    <row r="58" spans="4:18" ht="14.25">
      <c r="D58" s="228"/>
      <c r="E58" s="228"/>
      <c r="F58" s="228"/>
      <c r="G58" s="228"/>
      <c r="P58" s="7"/>
      <c r="R58" s="7"/>
    </row>
    <row r="59" spans="4:18" ht="14.25">
      <c r="D59" s="228"/>
      <c r="E59" s="228"/>
      <c r="F59" s="228"/>
      <c r="G59" s="228"/>
      <c r="P59" s="7"/>
      <c r="R59" s="7"/>
    </row>
    <row r="60" spans="4:7" ht="14.25">
      <c r="D60" s="228"/>
      <c r="E60" s="228"/>
      <c r="F60" s="228"/>
      <c r="G60" s="228"/>
    </row>
    <row r="64" spans="2:3" ht="9.75">
      <c r="B64" s="59"/>
      <c r="C64" s="59"/>
    </row>
    <row r="66" spans="2:3" ht="9.75">
      <c r="B66" s="59"/>
      <c r="C66" s="59"/>
    </row>
    <row r="67" spans="2:3" ht="9.75">
      <c r="B67" s="696"/>
      <c r="C67" s="696"/>
    </row>
  </sheetData>
  <sheetProtection/>
  <mergeCells count="2">
    <mergeCell ref="A3:B3"/>
    <mergeCell ref="A40:B40"/>
  </mergeCells>
  <printOptions/>
  <pageMargins left="0.7086614173228347" right="0.7086614173228347" top="0.9448818897637796" bottom="0.7480314960629921" header="0.1968503937007874" footer="0.11811023622047245"/>
  <pageSetup fitToWidth="0" fitToHeight="1" horizontalDpi="600" verticalDpi="600" orientation="portrait" paperSize="9" scale="78" r:id="rId1"/>
  <headerFooter>
    <oddHeader>&amp;C&amp;18&amp;A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T61"/>
  <sheetViews>
    <sheetView zoomScale="90" zoomScaleNormal="90" zoomScalePageLayoutView="90" workbookViewId="0" topLeftCell="A1">
      <selection activeCell="A53" sqref="A53"/>
    </sheetView>
  </sheetViews>
  <sheetFormatPr defaultColWidth="9.33203125" defaultRowHeight="10.5"/>
  <cols>
    <col min="1" max="1" width="12.16015625" style="0" customWidth="1"/>
    <col min="2" max="2" width="17.83203125" style="0" bestFit="1" customWidth="1"/>
    <col min="3" max="3" width="44.5" style="0" customWidth="1"/>
    <col min="4" max="4" width="7.16015625" style="0" customWidth="1"/>
    <col min="5" max="5" width="5.5" style="0" customWidth="1"/>
    <col min="6" max="6" width="43.83203125" style="0" customWidth="1"/>
    <col min="7" max="7" width="9.66015625" style="0" bestFit="1" customWidth="1"/>
    <col min="8" max="8" width="7.83203125" style="0" bestFit="1" customWidth="1"/>
    <col min="9" max="9" width="13.33203125" style="0" customWidth="1"/>
    <col min="10" max="10" width="14.66015625" style="0" customWidth="1"/>
    <col min="11" max="14" width="15" style="0" bestFit="1" customWidth="1"/>
    <col min="15" max="15" width="15.66015625" style="0" customWidth="1"/>
    <col min="16" max="16" width="17" style="0" customWidth="1"/>
    <col min="17" max="17" width="15" style="0" bestFit="1" customWidth="1"/>
    <col min="18" max="18" width="14" style="0" customWidth="1"/>
    <col min="19" max="19" width="19.83203125" style="0" bestFit="1" customWidth="1"/>
    <col min="20" max="20" width="10.66015625" style="0" bestFit="1" customWidth="1"/>
  </cols>
  <sheetData>
    <row r="3" spans="1:4" ht="23.25" customHeight="1">
      <c r="A3" s="1244" t="s">
        <v>647</v>
      </c>
      <c r="B3" s="1244"/>
      <c r="C3" s="860" t="s">
        <v>485</v>
      </c>
      <c r="D3" s="236"/>
    </row>
    <row r="4" spans="1:19" ht="15.75" customHeight="1">
      <c r="A4" s="837" t="s">
        <v>376</v>
      </c>
      <c r="B4" s="838" t="s">
        <v>371</v>
      </c>
      <c r="C4" s="839">
        <f>ROUND(S4/S$22*B$23,0)</f>
        <v>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Q4" s="837" t="s">
        <v>376</v>
      </c>
      <c r="R4" s="984" t="s">
        <v>371</v>
      </c>
      <c r="S4" s="839"/>
    </row>
    <row r="5" spans="1:19" ht="15.75" customHeight="1">
      <c r="A5" s="837" t="s">
        <v>377</v>
      </c>
      <c r="B5" s="838" t="s">
        <v>68</v>
      </c>
      <c r="C5" s="839">
        <f>ROUND(S5/S$22*B$23,0)</f>
        <v>0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Q5" s="837" t="s">
        <v>377</v>
      </c>
      <c r="R5" s="984" t="s">
        <v>68</v>
      </c>
      <c r="S5" s="839"/>
    </row>
    <row r="6" spans="1:19" ht="15.75" customHeight="1">
      <c r="A6" s="837" t="s">
        <v>378</v>
      </c>
      <c r="B6" s="838" t="s">
        <v>372</v>
      </c>
      <c r="C6" s="839">
        <f>ROUND(S6/S$22*B$23,0)</f>
        <v>0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Q6" s="837" t="s">
        <v>378</v>
      </c>
      <c r="R6" s="984" t="s">
        <v>372</v>
      </c>
      <c r="S6" s="839"/>
    </row>
    <row r="7" spans="1:19" ht="15.75" customHeight="1">
      <c r="A7" s="837" t="s">
        <v>379</v>
      </c>
      <c r="B7" s="838" t="s">
        <v>42</v>
      </c>
      <c r="C7" s="839">
        <f>ROUND(S7/S$22*B$23,0)</f>
        <v>0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Q7" s="837" t="s">
        <v>379</v>
      </c>
      <c r="R7" s="984" t="s">
        <v>42</v>
      </c>
      <c r="S7" s="839"/>
    </row>
    <row r="8" spans="1:19" ht="15.75" customHeight="1">
      <c r="A8" s="840" t="s">
        <v>380</v>
      </c>
      <c r="B8" s="841" t="s">
        <v>8</v>
      </c>
      <c r="C8" s="842">
        <f>ROUND(S8/S$22*B$23,0)</f>
        <v>1455798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Q8" s="840" t="s">
        <v>380</v>
      </c>
      <c r="R8" s="985" t="s">
        <v>8</v>
      </c>
      <c r="S8" s="842">
        <f>S27+S44+S45+S51+S54</f>
        <v>86234400</v>
      </c>
    </row>
    <row r="9" spans="1:19" ht="15.75" customHeight="1">
      <c r="A9" s="996" t="s">
        <v>381</v>
      </c>
      <c r="B9" s="995" t="s">
        <v>22</v>
      </c>
      <c r="C9" s="993">
        <f aca="true" t="shared" si="0" ref="C9:C21">ROUND(S9/S$22*B$23,0)</f>
        <v>204203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Q9" s="966" t="s">
        <v>381</v>
      </c>
      <c r="R9" s="986" t="s">
        <v>22</v>
      </c>
      <c r="S9" s="975">
        <f>S55</f>
        <v>12096000</v>
      </c>
    </row>
    <row r="10" spans="1:19" ht="15.75" customHeight="1">
      <c r="A10" s="837" t="s">
        <v>382</v>
      </c>
      <c r="B10" s="838" t="s">
        <v>21</v>
      </c>
      <c r="C10" s="839">
        <f t="shared" si="0"/>
        <v>0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Q10" s="837" t="s">
        <v>382</v>
      </c>
      <c r="R10" s="984" t="s">
        <v>21</v>
      </c>
      <c r="S10" s="839"/>
    </row>
    <row r="11" spans="1:19" ht="15.75" customHeight="1">
      <c r="A11" s="998" t="s">
        <v>383</v>
      </c>
      <c r="B11" s="997" t="s">
        <v>23</v>
      </c>
      <c r="C11" s="970">
        <f t="shared" si="0"/>
        <v>267206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Q11" s="971" t="s">
        <v>383</v>
      </c>
      <c r="R11" s="987" t="s">
        <v>23</v>
      </c>
      <c r="S11" s="970">
        <f>S29+S53+S56</f>
        <v>15828000</v>
      </c>
    </row>
    <row r="12" spans="1:19" ht="15.75" customHeight="1">
      <c r="A12" s="981" t="s">
        <v>384</v>
      </c>
      <c r="B12" s="979" t="s">
        <v>24</v>
      </c>
      <c r="C12" s="980">
        <f t="shared" si="0"/>
        <v>191778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Q12" s="981" t="s">
        <v>384</v>
      </c>
      <c r="R12" s="988" t="s">
        <v>24</v>
      </c>
      <c r="S12" s="980">
        <f>S28+S52</f>
        <v>11360000</v>
      </c>
    </row>
    <row r="13" spans="1:19" ht="15.75" customHeight="1">
      <c r="A13" s="837" t="s">
        <v>385</v>
      </c>
      <c r="B13" s="838" t="s">
        <v>31</v>
      </c>
      <c r="C13" s="839">
        <f t="shared" si="0"/>
        <v>0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Q13" s="837" t="s">
        <v>385</v>
      </c>
      <c r="R13" s="984" t="s">
        <v>31</v>
      </c>
      <c r="S13" s="839"/>
    </row>
    <row r="14" spans="1:19" ht="15.75" customHeight="1">
      <c r="A14" s="843" t="s">
        <v>386</v>
      </c>
      <c r="B14" s="844" t="s">
        <v>37</v>
      </c>
      <c r="C14" s="845">
        <f t="shared" si="0"/>
        <v>2082396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Q14" s="843" t="s">
        <v>386</v>
      </c>
      <c r="R14" s="989" t="s">
        <v>37</v>
      </c>
      <c r="S14" s="845">
        <f>S33+S36+S59</f>
        <v>123351000</v>
      </c>
    </row>
    <row r="15" spans="1:19" ht="15.75" customHeight="1">
      <c r="A15" s="846" t="s">
        <v>387</v>
      </c>
      <c r="B15" s="847" t="s">
        <v>72</v>
      </c>
      <c r="C15" s="848">
        <f t="shared" si="0"/>
        <v>278483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Q15" s="846" t="s">
        <v>387</v>
      </c>
      <c r="R15" s="990" t="s">
        <v>72</v>
      </c>
      <c r="S15" s="848">
        <f>S30+S38+S48+S50</f>
        <v>16496000</v>
      </c>
    </row>
    <row r="16" spans="1:19" ht="15.75" customHeight="1">
      <c r="A16" s="849" t="s">
        <v>388</v>
      </c>
      <c r="B16" s="850" t="s">
        <v>81</v>
      </c>
      <c r="C16" s="851">
        <f>B23-SUM(C4:C15)</f>
        <v>5520136</v>
      </c>
      <c r="E16" s="237"/>
      <c r="F16" s="994"/>
      <c r="G16" s="237"/>
      <c r="H16" s="237"/>
      <c r="I16" s="237"/>
      <c r="J16" s="237"/>
      <c r="K16" s="237"/>
      <c r="L16" s="237"/>
      <c r="M16" s="237"/>
      <c r="N16" s="237"/>
      <c r="Q16" s="849" t="s">
        <v>388</v>
      </c>
      <c r="R16" s="991" t="s">
        <v>81</v>
      </c>
      <c r="S16" s="851">
        <f>S26+S31+S32+S34+S35+S37+S39+S40+S41+S42+S43+S46+S47+S49+S57+S58</f>
        <v>326986000</v>
      </c>
    </row>
    <row r="17" spans="1:19" ht="15.75" customHeight="1">
      <c r="A17" s="837" t="s">
        <v>389</v>
      </c>
      <c r="B17" s="838" t="s">
        <v>87</v>
      </c>
      <c r="C17" s="839">
        <f t="shared" si="0"/>
        <v>0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Q17" s="837" t="s">
        <v>389</v>
      </c>
      <c r="R17" s="984" t="s">
        <v>87</v>
      </c>
      <c r="S17" s="839"/>
    </row>
    <row r="18" spans="1:19" ht="15.75" customHeight="1">
      <c r="A18" s="837" t="s">
        <v>390</v>
      </c>
      <c r="B18" s="838" t="s">
        <v>45</v>
      </c>
      <c r="C18" s="839">
        <f t="shared" si="0"/>
        <v>0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Q18" s="837" t="s">
        <v>390</v>
      </c>
      <c r="R18" s="984" t="s">
        <v>45</v>
      </c>
      <c r="S18" s="839"/>
    </row>
    <row r="19" spans="1:19" ht="15.75" customHeight="1">
      <c r="A19" s="837" t="s">
        <v>391</v>
      </c>
      <c r="B19" s="838" t="s">
        <v>94</v>
      </c>
      <c r="C19" s="839">
        <f t="shared" si="0"/>
        <v>0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Q19" s="837" t="s">
        <v>391</v>
      </c>
      <c r="R19" s="984" t="s">
        <v>94</v>
      </c>
      <c r="S19" s="839"/>
    </row>
    <row r="20" spans="1:19" ht="15.75" customHeight="1">
      <c r="A20" s="837" t="s">
        <v>392</v>
      </c>
      <c r="B20" s="838" t="s">
        <v>58</v>
      </c>
      <c r="C20" s="839">
        <f t="shared" si="0"/>
        <v>0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Q20" s="837" t="s">
        <v>392</v>
      </c>
      <c r="R20" s="984" t="s">
        <v>58</v>
      </c>
      <c r="S20" s="839"/>
    </row>
    <row r="21" spans="1:19" s="16" customFormat="1" ht="15.75" customHeight="1">
      <c r="A21" s="852" t="s">
        <v>393</v>
      </c>
      <c r="B21" s="853" t="s">
        <v>373</v>
      </c>
      <c r="C21" s="854">
        <f t="shared" si="0"/>
        <v>0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Q21" s="837" t="s">
        <v>393</v>
      </c>
      <c r="R21" s="984" t="s">
        <v>373</v>
      </c>
      <c r="S21" s="854"/>
    </row>
    <row r="22" spans="1:19" ht="18">
      <c r="A22" s="861" t="s">
        <v>421</v>
      </c>
      <c r="B22" s="855"/>
      <c r="C22" s="856">
        <f>SUM(C4:C21)</f>
        <v>10000000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Q22" s="983" t="s">
        <v>421</v>
      </c>
      <c r="R22" s="992"/>
      <c r="S22" s="856">
        <f>SUM(S4:S21)</f>
        <v>592351400</v>
      </c>
    </row>
    <row r="23" spans="1:19" ht="5.25" customHeight="1">
      <c r="A23" s="859" t="s">
        <v>484</v>
      </c>
      <c r="B23" s="858">
        <v>10000000</v>
      </c>
      <c r="C23" s="85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41"/>
      <c r="S23" s="237"/>
    </row>
    <row r="25" spans="1:19" ht="18">
      <c r="A25" s="947" t="s">
        <v>486</v>
      </c>
      <c r="B25" s="947" t="s">
        <v>128</v>
      </c>
      <c r="C25" s="947" t="s">
        <v>487</v>
      </c>
      <c r="D25" s="947" t="s">
        <v>488</v>
      </c>
      <c r="E25" s="947" t="s">
        <v>489</v>
      </c>
      <c r="F25" s="947" t="s">
        <v>490</v>
      </c>
      <c r="G25" s="947" t="s">
        <v>491</v>
      </c>
      <c r="H25" s="947" t="s">
        <v>492</v>
      </c>
      <c r="I25" s="957">
        <v>2010</v>
      </c>
      <c r="J25" s="957">
        <v>2011</v>
      </c>
      <c r="K25" s="957">
        <v>2012</v>
      </c>
      <c r="L25" s="957">
        <v>2013</v>
      </c>
      <c r="M25" s="957">
        <v>2014</v>
      </c>
      <c r="N25" s="957">
        <v>2015</v>
      </c>
      <c r="O25" s="957">
        <v>2016</v>
      </c>
      <c r="P25" s="957">
        <v>2017</v>
      </c>
      <c r="Q25" s="957">
        <v>2018</v>
      </c>
      <c r="R25" s="957">
        <v>2019</v>
      </c>
      <c r="S25" s="1073" t="s">
        <v>1253</v>
      </c>
    </row>
    <row r="26" spans="1:20" ht="15" customHeight="1">
      <c r="A26" s="941">
        <v>1</v>
      </c>
      <c r="B26" s="941" t="s">
        <v>493</v>
      </c>
      <c r="C26" s="941" t="s">
        <v>494</v>
      </c>
      <c r="D26" s="941" t="s">
        <v>495</v>
      </c>
      <c r="E26" s="941" t="s">
        <v>496</v>
      </c>
      <c r="F26" s="941" t="s">
        <v>497</v>
      </c>
      <c r="G26" s="941">
        <v>2010</v>
      </c>
      <c r="H26" s="941">
        <v>2014</v>
      </c>
      <c r="I26" s="942">
        <v>7975000</v>
      </c>
      <c r="J26" s="942">
        <v>28223000</v>
      </c>
      <c r="K26" s="942">
        <v>28276000</v>
      </c>
      <c r="L26" s="942">
        <v>16966000</v>
      </c>
      <c r="M26" s="942">
        <v>11466000</v>
      </c>
      <c r="N26" s="942"/>
      <c r="O26" s="942"/>
      <c r="P26" s="942"/>
      <c r="Q26" s="942"/>
      <c r="R26" s="942"/>
      <c r="S26" s="943">
        <f>SUM(M26:R26)</f>
        <v>11466000</v>
      </c>
      <c r="T26" s="1065"/>
    </row>
    <row r="27" spans="1:20" ht="15" customHeight="1">
      <c r="A27" s="944">
        <v>2</v>
      </c>
      <c r="B27" s="944" t="s">
        <v>498</v>
      </c>
      <c r="C27" s="944" t="s">
        <v>499</v>
      </c>
      <c r="D27" s="944" t="s">
        <v>495</v>
      </c>
      <c r="E27" s="944" t="s">
        <v>500</v>
      </c>
      <c r="F27" s="944" t="s">
        <v>501</v>
      </c>
      <c r="G27" s="944">
        <v>2010</v>
      </c>
      <c r="H27" s="944">
        <v>2015</v>
      </c>
      <c r="I27" s="945"/>
      <c r="J27" s="945"/>
      <c r="K27" s="945">
        <v>4980000</v>
      </c>
      <c r="L27" s="945">
        <v>3400000</v>
      </c>
      <c r="M27" s="945">
        <v>3400000</v>
      </c>
      <c r="N27" s="945">
        <v>2700000</v>
      </c>
      <c r="O27" s="945"/>
      <c r="P27" s="945"/>
      <c r="Q27" s="945"/>
      <c r="R27" s="945"/>
      <c r="S27" s="946">
        <f aca="true" t="shared" si="1" ref="S27:S56">SUM(M27:R27)</f>
        <v>6100000</v>
      </c>
      <c r="T27" s="1065"/>
    </row>
    <row r="28" spans="1:20" ht="15" customHeight="1">
      <c r="A28" s="976"/>
      <c r="B28" s="976"/>
      <c r="C28" s="976"/>
      <c r="D28" s="976"/>
      <c r="E28" s="976"/>
      <c r="F28" s="976" t="s">
        <v>502</v>
      </c>
      <c r="G28" s="976"/>
      <c r="H28" s="976"/>
      <c r="I28" s="977"/>
      <c r="J28" s="977"/>
      <c r="K28" s="977">
        <v>4750000</v>
      </c>
      <c r="L28" s="977">
        <v>3000000</v>
      </c>
      <c r="M28" s="977">
        <v>2900000</v>
      </c>
      <c r="N28" s="977">
        <v>2700000</v>
      </c>
      <c r="O28" s="977"/>
      <c r="P28" s="977"/>
      <c r="Q28" s="977"/>
      <c r="R28" s="977"/>
      <c r="S28" s="978">
        <f t="shared" si="1"/>
        <v>5600000</v>
      </c>
      <c r="T28" s="1065"/>
    </row>
    <row r="29" spans="1:20" ht="15" customHeight="1">
      <c r="A29" s="999"/>
      <c r="B29" s="972"/>
      <c r="C29" s="972"/>
      <c r="D29" s="972"/>
      <c r="E29" s="972"/>
      <c r="F29" s="972" t="s">
        <v>503</v>
      </c>
      <c r="G29" s="972"/>
      <c r="H29" s="972"/>
      <c r="I29" s="973"/>
      <c r="J29" s="973"/>
      <c r="K29" s="973"/>
      <c r="L29" s="973"/>
      <c r="M29" s="973">
        <v>1800000</v>
      </c>
      <c r="N29" s="973">
        <v>1800000</v>
      </c>
      <c r="O29" s="973"/>
      <c r="P29" s="973"/>
      <c r="Q29" s="973"/>
      <c r="R29" s="973"/>
      <c r="S29" s="974">
        <f t="shared" si="1"/>
        <v>3600000</v>
      </c>
      <c r="T29" s="1065"/>
    </row>
    <row r="30" spans="1:20" ht="15" customHeight="1">
      <c r="A30" s="948">
        <v>3</v>
      </c>
      <c r="B30" s="948" t="s">
        <v>504</v>
      </c>
      <c r="C30" s="948" t="s">
        <v>505</v>
      </c>
      <c r="D30" s="948" t="s">
        <v>495</v>
      </c>
      <c r="E30" s="948" t="s">
        <v>506</v>
      </c>
      <c r="F30" s="948" t="s">
        <v>507</v>
      </c>
      <c r="G30" s="948">
        <v>2010</v>
      </c>
      <c r="H30" s="948">
        <v>2015</v>
      </c>
      <c r="I30" s="949"/>
      <c r="J30" s="949"/>
      <c r="K30" s="949">
        <v>458000</v>
      </c>
      <c r="L30" s="949">
        <v>458000</v>
      </c>
      <c r="M30" s="949">
        <v>458000</v>
      </c>
      <c r="N30" s="949">
        <v>458000</v>
      </c>
      <c r="O30" s="949"/>
      <c r="P30" s="949"/>
      <c r="Q30" s="949"/>
      <c r="R30" s="949"/>
      <c r="S30" s="950">
        <f t="shared" si="1"/>
        <v>916000</v>
      </c>
      <c r="T30" s="1065"/>
    </row>
    <row r="31" spans="1:20" ht="15" customHeight="1">
      <c r="A31" s="941"/>
      <c r="B31" s="941"/>
      <c r="C31" s="941"/>
      <c r="D31" s="941"/>
      <c r="E31" s="941"/>
      <c r="F31" s="941" t="s">
        <v>508</v>
      </c>
      <c r="G31" s="941"/>
      <c r="H31" s="941"/>
      <c r="I31" s="942"/>
      <c r="J31" s="942"/>
      <c r="K31" s="942">
        <v>1175000</v>
      </c>
      <c r="L31" s="942">
        <v>1175000</v>
      </c>
      <c r="M31" s="942">
        <v>1175000</v>
      </c>
      <c r="N31" s="942">
        <v>1175000</v>
      </c>
      <c r="O31" s="942"/>
      <c r="P31" s="942"/>
      <c r="Q31" s="942"/>
      <c r="R31" s="942"/>
      <c r="S31" s="943">
        <f t="shared" si="1"/>
        <v>2350000</v>
      </c>
      <c r="T31" s="1065"/>
    </row>
    <row r="32" spans="1:20" ht="15" customHeight="1">
      <c r="A32" s="941">
        <v>4</v>
      </c>
      <c r="B32" s="941" t="s">
        <v>509</v>
      </c>
      <c r="C32" s="941" t="s">
        <v>510</v>
      </c>
      <c r="D32" s="941" t="s">
        <v>495</v>
      </c>
      <c r="E32" s="941" t="s">
        <v>496</v>
      </c>
      <c r="F32" s="941" t="s">
        <v>497</v>
      </c>
      <c r="G32" s="941">
        <v>2010</v>
      </c>
      <c r="H32" s="941">
        <v>2015</v>
      </c>
      <c r="I32" s="942">
        <v>9940000</v>
      </c>
      <c r="J32" s="942">
        <v>13949000</v>
      </c>
      <c r="K32" s="942">
        <v>13971000</v>
      </c>
      <c r="L32" s="942">
        <v>14058000</v>
      </c>
      <c r="M32" s="942">
        <v>14949000</v>
      </c>
      <c r="N32" s="942">
        <v>14950000</v>
      </c>
      <c r="O32" s="942"/>
      <c r="P32" s="942"/>
      <c r="Q32" s="942"/>
      <c r="R32" s="942"/>
      <c r="S32" s="943">
        <f t="shared" si="1"/>
        <v>29899000</v>
      </c>
      <c r="T32" s="1065"/>
    </row>
    <row r="33" spans="1:20" ht="15" customHeight="1">
      <c r="A33" s="951">
        <v>5</v>
      </c>
      <c r="B33" s="951" t="s">
        <v>511</v>
      </c>
      <c r="C33" s="951" t="s">
        <v>512</v>
      </c>
      <c r="D33" s="951" t="s">
        <v>495</v>
      </c>
      <c r="E33" s="951" t="s">
        <v>513</v>
      </c>
      <c r="F33" s="951" t="s">
        <v>514</v>
      </c>
      <c r="G33" s="951">
        <v>2012</v>
      </c>
      <c r="H33" s="951">
        <v>2015</v>
      </c>
      <c r="I33" s="952"/>
      <c r="J33" s="952"/>
      <c r="K33" s="952">
        <v>22000000</v>
      </c>
      <c r="L33" s="952">
        <v>22000000</v>
      </c>
      <c r="M33" s="952">
        <v>22000000</v>
      </c>
      <c r="N33" s="952">
        <v>22000000</v>
      </c>
      <c r="O33" s="952"/>
      <c r="P33" s="952"/>
      <c r="Q33" s="952"/>
      <c r="R33" s="952"/>
      <c r="S33" s="953">
        <f t="shared" si="1"/>
        <v>44000000</v>
      </c>
      <c r="T33" s="1065"/>
    </row>
    <row r="34" spans="1:20" ht="15" customHeight="1">
      <c r="A34" s="941">
        <v>6</v>
      </c>
      <c r="B34" s="941" t="s">
        <v>515</v>
      </c>
      <c r="C34" s="941" t="s">
        <v>516</v>
      </c>
      <c r="D34" s="941" t="s">
        <v>495</v>
      </c>
      <c r="E34" s="941" t="s">
        <v>496</v>
      </c>
      <c r="F34" s="941" t="s">
        <v>497</v>
      </c>
      <c r="G34" s="941">
        <v>2012</v>
      </c>
      <c r="H34" s="941">
        <v>2016</v>
      </c>
      <c r="I34" s="942"/>
      <c r="J34" s="942"/>
      <c r="K34" s="942">
        <v>11000000</v>
      </c>
      <c r="L34" s="942">
        <v>11500000</v>
      </c>
      <c r="M34" s="942">
        <v>12000000</v>
      </c>
      <c r="N34" s="942">
        <v>12500000</v>
      </c>
      <c r="O34" s="942">
        <v>12500000</v>
      </c>
      <c r="P34" s="942"/>
      <c r="Q34" s="942"/>
      <c r="R34" s="942"/>
      <c r="S34" s="943">
        <f t="shared" si="1"/>
        <v>37000000</v>
      </c>
      <c r="T34" s="1065"/>
    </row>
    <row r="35" spans="1:20" ht="15" customHeight="1">
      <c r="A35" s="941">
        <v>7</v>
      </c>
      <c r="B35" s="941" t="s">
        <v>517</v>
      </c>
      <c r="C35" s="941" t="s">
        <v>518</v>
      </c>
      <c r="D35" s="941" t="s">
        <v>495</v>
      </c>
      <c r="E35" s="941" t="s">
        <v>519</v>
      </c>
      <c r="F35" s="941" t="s">
        <v>520</v>
      </c>
      <c r="G35" s="941">
        <v>2016</v>
      </c>
      <c r="H35" s="941">
        <v>2019</v>
      </c>
      <c r="I35" s="942"/>
      <c r="J35" s="942"/>
      <c r="K35" s="942"/>
      <c r="L35" s="942"/>
      <c r="M35" s="942"/>
      <c r="N35" s="942"/>
      <c r="O35" s="942">
        <v>413000</v>
      </c>
      <c r="P35" s="942">
        <v>569000</v>
      </c>
      <c r="Q35" s="942">
        <v>589000</v>
      </c>
      <c r="R35" s="942">
        <v>525000</v>
      </c>
      <c r="S35" s="943">
        <f t="shared" si="1"/>
        <v>2096000</v>
      </c>
      <c r="T35" s="1065"/>
    </row>
    <row r="36" spans="1:20" ht="15" customHeight="1">
      <c r="A36" s="951">
        <v>8</v>
      </c>
      <c r="B36" s="951" t="s">
        <v>521</v>
      </c>
      <c r="C36" s="951" t="s">
        <v>512</v>
      </c>
      <c r="D36" s="951" t="s">
        <v>495</v>
      </c>
      <c r="E36" s="951" t="s">
        <v>513</v>
      </c>
      <c r="F36" s="951" t="s">
        <v>514</v>
      </c>
      <c r="G36" s="951">
        <v>2016</v>
      </c>
      <c r="H36" s="951">
        <v>2019</v>
      </c>
      <c r="I36" s="952"/>
      <c r="J36" s="952"/>
      <c r="K36" s="952"/>
      <c r="L36" s="952"/>
      <c r="M36" s="952"/>
      <c r="N36" s="952"/>
      <c r="O36" s="952">
        <v>22000000</v>
      </c>
      <c r="P36" s="952">
        <v>18535000</v>
      </c>
      <c r="Q36" s="952">
        <v>18695000</v>
      </c>
      <c r="R36" s="952">
        <v>18855000</v>
      </c>
      <c r="S36" s="953">
        <f t="shared" si="1"/>
        <v>78085000</v>
      </c>
      <c r="T36" s="1065"/>
    </row>
    <row r="37" spans="1:20" ht="15" customHeight="1">
      <c r="A37" s="941">
        <v>9</v>
      </c>
      <c r="B37" s="941" t="s">
        <v>522</v>
      </c>
      <c r="C37" s="941" t="s">
        <v>523</v>
      </c>
      <c r="D37" s="941" t="s">
        <v>495</v>
      </c>
      <c r="E37" s="941" t="s">
        <v>519</v>
      </c>
      <c r="F37" s="941" t="s">
        <v>520</v>
      </c>
      <c r="G37" s="941">
        <v>2016</v>
      </c>
      <c r="H37" s="941">
        <v>2019</v>
      </c>
      <c r="I37" s="942"/>
      <c r="J37" s="942"/>
      <c r="K37" s="942"/>
      <c r="L37" s="942"/>
      <c r="M37" s="942"/>
      <c r="N37" s="942"/>
      <c r="O37" s="942">
        <v>438000</v>
      </c>
      <c r="P37" s="942">
        <v>594000</v>
      </c>
      <c r="Q37" s="942">
        <v>676000</v>
      </c>
      <c r="R37" s="942">
        <v>683000</v>
      </c>
      <c r="S37" s="943">
        <f t="shared" si="1"/>
        <v>2391000</v>
      </c>
      <c r="T37" s="59"/>
    </row>
    <row r="38" spans="1:20" ht="15" customHeight="1">
      <c r="A38" s="948">
        <v>10</v>
      </c>
      <c r="B38" s="948" t="s">
        <v>524</v>
      </c>
      <c r="C38" s="948" t="s">
        <v>525</v>
      </c>
      <c r="D38" s="948" t="s">
        <v>495</v>
      </c>
      <c r="E38" s="948" t="s">
        <v>526</v>
      </c>
      <c r="F38" s="948" t="s">
        <v>527</v>
      </c>
      <c r="G38" s="948">
        <v>2016</v>
      </c>
      <c r="H38" s="948">
        <v>2019</v>
      </c>
      <c r="I38" s="949"/>
      <c r="J38" s="949"/>
      <c r="K38" s="949"/>
      <c r="L38" s="949"/>
      <c r="M38" s="949"/>
      <c r="N38" s="949"/>
      <c r="O38" s="949">
        <v>1194000</v>
      </c>
      <c r="P38" s="949">
        <v>1056000</v>
      </c>
      <c r="Q38" s="949">
        <v>1656000</v>
      </c>
      <c r="R38" s="949">
        <v>1686000</v>
      </c>
      <c r="S38" s="950">
        <f t="shared" si="1"/>
        <v>5592000</v>
      </c>
      <c r="T38" s="59"/>
    </row>
    <row r="39" spans="1:20" ht="15" customHeight="1">
      <c r="A39" s="941">
        <v>11</v>
      </c>
      <c r="B39" s="941" t="s">
        <v>528</v>
      </c>
      <c r="C39" s="941" t="s">
        <v>529</v>
      </c>
      <c r="D39" s="941" t="s">
        <v>495</v>
      </c>
      <c r="E39" s="941" t="s">
        <v>530</v>
      </c>
      <c r="F39" s="941" t="s">
        <v>531</v>
      </c>
      <c r="G39" s="941">
        <v>2016</v>
      </c>
      <c r="H39" s="941">
        <v>2019</v>
      </c>
      <c r="I39" s="942"/>
      <c r="J39" s="942"/>
      <c r="K39" s="942"/>
      <c r="L39" s="942"/>
      <c r="M39" s="942"/>
      <c r="N39" s="942"/>
      <c r="O39" s="942">
        <v>888000</v>
      </c>
      <c r="P39" s="942">
        <v>786000</v>
      </c>
      <c r="Q39" s="954">
        <v>724000</v>
      </c>
      <c r="R39" s="954">
        <v>735000</v>
      </c>
      <c r="S39" s="943">
        <f t="shared" si="1"/>
        <v>3133000</v>
      </c>
      <c r="T39" s="59"/>
    </row>
    <row r="40" spans="1:20" ht="15" customHeight="1">
      <c r="A40" s="941">
        <v>12</v>
      </c>
      <c r="B40" s="941" t="s">
        <v>532</v>
      </c>
      <c r="C40" s="941" t="s">
        <v>533</v>
      </c>
      <c r="D40" s="941" t="s">
        <v>495</v>
      </c>
      <c r="E40" s="941" t="s">
        <v>496</v>
      </c>
      <c r="F40" s="941" t="s">
        <v>497</v>
      </c>
      <c r="G40" s="941">
        <v>2016</v>
      </c>
      <c r="H40" s="941">
        <v>2019</v>
      </c>
      <c r="I40" s="942"/>
      <c r="J40" s="942"/>
      <c r="K40" s="942"/>
      <c r="L40" s="942"/>
      <c r="M40" s="942"/>
      <c r="N40" s="942"/>
      <c r="O40" s="942">
        <v>1729000</v>
      </c>
      <c r="P40" s="942">
        <v>18712000</v>
      </c>
      <c r="Q40" s="942">
        <v>19086000</v>
      </c>
      <c r="R40" s="942">
        <v>19469000</v>
      </c>
      <c r="S40" s="943">
        <f t="shared" si="1"/>
        <v>58996000</v>
      </c>
      <c r="T40" s="59"/>
    </row>
    <row r="41" spans="1:20" ht="15" customHeight="1">
      <c r="A41" s="941">
        <v>13</v>
      </c>
      <c r="B41" s="941" t="s">
        <v>534</v>
      </c>
      <c r="C41" s="941" t="s">
        <v>535</v>
      </c>
      <c r="D41" s="941" t="s">
        <v>495</v>
      </c>
      <c r="E41" s="941" t="s">
        <v>536</v>
      </c>
      <c r="F41" s="941" t="s">
        <v>537</v>
      </c>
      <c r="G41" s="941">
        <v>2016</v>
      </c>
      <c r="H41" s="941">
        <v>2019</v>
      </c>
      <c r="I41" s="942"/>
      <c r="J41" s="942"/>
      <c r="K41" s="942"/>
      <c r="L41" s="942"/>
      <c r="M41" s="942"/>
      <c r="N41" s="942"/>
      <c r="O41" s="942">
        <v>1710000</v>
      </c>
      <c r="P41" s="942">
        <v>1529000</v>
      </c>
      <c r="Q41" s="942">
        <v>1600000</v>
      </c>
      <c r="R41" s="942">
        <v>1613000</v>
      </c>
      <c r="S41" s="943">
        <f t="shared" si="1"/>
        <v>6452000</v>
      </c>
      <c r="T41" s="59"/>
    </row>
    <row r="42" spans="1:20" ht="15" customHeight="1">
      <c r="A42" s="941">
        <v>14</v>
      </c>
      <c r="B42" s="941" t="s">
        <v>538</v>
      </c>
      <c r="C42" s="941" t="s">
        <v>539</v>
      </c>
      <c r="D42" s="941" t="s">
        <v>495</v>
      </c>
      <c r="E42" s="941" t="s">
        <v>496</v>
      </c>
      <c r="F42" s="941" t="s">
        <v>497</v>
      </c>
      <c r="G42" s="941">
        <v>2016</v>
      </c>
      <c r="H42" s="941">
        <v>2019</v>
      </c>
      <c r="I42" s="942"/>
      <c r="J42" s="942"/>
      <c r="K42" s="942"/>
      <c r="L42" s="942"/>
      <c r="M42" s="942"/>
      <c r="N42" s="942"/>
      <c r="O42" s="942">
        <v>9720000</v>
      </c>
      <c r="P42" s="942">
        <v>8952000</v>
      </c>
      <c r="Q42" s="942">
        <v>10416000</v>
      </c>
      <c r="R42" s="942">
        <v>11112000</v>
      </c>
      <c r="S42" s="943">
        <f t="shared" si="1"/>
        <v>40200000</v>
      </c>
      <c r="T42" s="59"/>
    </row>
    <row r="43" spans="1:20" ht="15" customHeight="1">
      <c r="A43" s="941">
        <v>15</v>
      </c>
      <c r="B43" s="941" t="s">
        <v>540</v>
      </c>
      <c r="C43" s="941" t="s">
        <v>541</v>
      </c>
      <c r="D43" s="941" t="s">
        <v>495</v>
      </c>
      <c r="E43" s="941" t="s">
        <v>519</v>
      </c>
      <c r="F43" s="941" t="s">
        <v>520</v>
      </c>
      <c r="G43" s="941">
        <v>2016</v>
      </c>
      <c r="H43" s="941">
        <v>2019</v>
      </c>
      <c r="I43" s="942"/>
      <c r="J43" s="942"/>
      <c r="K43" s="942"/>
      <c r="L43" s="942"/>
      <c r="M43" s="942"/>
      <c r="N43" s="942"/>
      <c r="O43" s="942">
        <v>14481000</v>
      </c>
      <c r="P43" s="942">
        <v>12954000</v>
      </c>
      <c r="Q43" s="942">
        <v>12984000</v>
      </c>
      <c r="R43" s="942">
        <v>13023000</v>
      </c>
      <c r="S43" s="943">
        <f t="shared" si="1"/>
        <v>53442000</v>
      </c>
      <c r="T43" s="59"/>
    </row>
    <row r="44" spans="1:20" ht="15" customHeight="1">
      <c r="A44" s="944">
        <v>16</v>
      </c>
      <c r="B44" s="944" t="s">
        <v>542</v>
      </c>
      <c r="C44" s="944" t="s">
        <v>543</v>
      </c>
      <c r="D44" s="944" t="s">
        <v>495</v>
      </c>
      <c r="E44" s="944" t="s">
        <v>544</v>
      </c>
      <c r="F44" s="944" t="s">
        <v>545</v>
      </c>
      <c r="G44" s="944">
        <v>2016</v>
      </c>
      <c r="H44" s="944">
        <v>2019</v>
      </c>
      <c r="I44" s="945"/>
      <c r="J44" s="945"/>
      <c r="K44" s="945"/>
      <c r="L44" s="945"/>
      <c r="M44" s="945"/>
      <c r="N44" s="945"/>
      <c r="O44" s="945">
        <v>8254000</v>
      </c>
      <c r="P44" s="945">
        <v>7504000</v>
      </c>
      <c r="Q44" s="945">
        <v>8118000</v>
      </c>
      <c r="R44" s="945">
        <v>8426000</v>
      </c>
      <c r="S44" s="946">
        <f t="shared" si="1"/>
        <v>32302000</v>
      </c>
      <c r="T44" s="59"/>
    </row>
    <row r="45" spans="1:20" ht="15" customHeight="1">
      <c r="A45" s="944">
        <v>17</v>
      </c>
      <c r="B45" s="944" t="s">
        <v>546</v>
      </c>
      <c r="C45" s="944" t="s">
        <v>547</v>
      </c>
      <c r="D45" s="944" t="s">
        <v>495</v>
      </c>
      <c r="E45" s="944" t="s">
        <v>548</v>
      </c>
      <c r="F45" s="944" t="s">
        <v>549</v>
      </c>
      <c r="G45" s="944">
        <v>2016</v>
      </c>
      <c r="H45" s="944">
        <v>2019</v>
      </c>
      <c r="I45" s="945"/>
      <c r="J45" s="945"/>
      <c r="K45" s="945"/>
      <c r="L45" s="945"/>
      <c r="M45" s="945"/>
      <c r="N45" s="945"/>
      <c r="O45" s="945">
        <v>1300000</v>
      </c>
      <c r="P45" s="945">
        <v>1450000</v>
      </c>
      <c r="Q45" s="945">
        <v>1450000</v>
      </c>
      <c r="R45" s="945">
        <v>1450000</v>
      </c>
      <c r="S45" s="946">
        <f t="shared" si="1"/>
        <v>5650000</v>
      </c>
      <c r="T45" s="59"/>
    </row>
    <row r="46" spans="1:20" ht="15" customHeight="1">
      <c r="A46" s="941">
        <v>18</v>
      </c>
      <c r="B46" s="941" t="s">
        <v>550</v>
      </c>
      <c r="C46" s="941" t="s">
        <v>551</v>
      </c>
      <c r="D46" s="941" t="s">
        <v>495</v>
      </c>
      <c r="E46" s="941" t="s">
        <v>519</v>
      </c>
      <c r="F46" s="941" t="s">
        <v>520</v>
      </c>
      <c r="G46" s="941">
        <v>2016</v>
      </c>
      <c r="H46" s="941">
        <v>2019</v>
      </c>
      <c r="I46" s="942"/>
      <c r="J46" s="942"/>
      <c r="K46" s="942"/>
      <c r="L46" s="942"/>
      <c r="M46" s="942"/>
      <c r="N46" s="942"/>
      <c r="O46" s="942">
        <v>1838000</v>
      </c>
      <c r="P46" s="942">
        <v>1614000</v>
      </c>
      <c r="Q46" s="942">
        <v>1594000</v>
      </c>
      <c r="R46" s="942">
        <v>1594000</v>
      </c>
      <c r="S46" s="943">
        <f t="shared" si="1"/>
        <v>6640000</v>
      </c>
      <c r="T46" s="59"/>
    </row>
    <row r="47" spans="1:20" ht="15" customHeight="1">
      <c r="A47" s="941">
        <v>19</v>
      </c>
      <c r="B47" s="941" t="s">
        <v>552</v>
      </c>
      <c r="C47" s="941" t="s">
        <v>553</v>
      </c>
      <c r="D47" s="941" t="s">
        <v>495</v>
      </c>
      <c r="E47" s="941" t="s">
        <v>496</v>
      </c>
      <c r="F47" s="941" t="s">
        <v>497</v>
      </c>
      <c r="G47" s="941">
        <v>2016</v>
      </c>
      <c r="H47" s="941">
        <v>2019</v>
      </c>
      <c r="I47" s="942"/>
      <c r="J47" s="942"/>
      <c r="K47" s="942"/>
      <c r="L47" s="942"/>
      <c r="M47" s="942"/>
      <c r="N47" s="942"/>
      <c r="O47" s="942">
        <v>11515000</v>
      </c>
      <c r="P47" s="942">
        <v>10242000</v>
      </c>
      <c r="Q47" s="942">
        <v>11490000</v>
      </c>
      <c r="R47" s="942">
        <v>12934000</v>
      </c>
      <c r="S47" s="943">
        <f t="shared" si="1"/>
        <v>46181000</v>
      </c>
      <c r="T47" s="59"/>
    </row>
    <row r="48" spans="1:20" ht="15" customHeight="1">
      <c r="A48" s="948">
        <v>20</v>
      </c>
      <c r="B48" s="948" t="s">
        <v>554</v>
      </c>
      <c r="C48" s="948" t="s">
        <v>555</v>
      </c>
      <c r="D48" s="948" t="s">
        <v>495</v>
      </c>
      <c r="E48" s="948" t="s">
        <v>556</v>
      </c>
      <c r="F48" s="948" t="s">
        <v>557</v>
      </c>
      <c r="G48" s="948">
        <v>2016</v>
      </c>
      <c r="H48" s="948">
        <v>2019</v>
      </c>
      <c r="I48" s="949"/>
      <c r="J48" s="949"/>
      <c r="K48" s="949"/>
      <c r="L48" s="949"/>
      <c r="M48" s="949"/>
      <c r="N48" s="949"/>
      <c r="O48" s="949">
        <v>390000</v>
      </c>
      <c r="P48" s="949">
        <v>350000</v>
      </c>
      <c r="Q48" s="949">
        <v>350000</v>
      </c>
      <c r="R48" s="949">
        <v>350000</v>
      </c>
      <c r="S48" s="950">
        <f t="shared" si="1"/>
        <v>1440000</v>
      </c>
      <c r="T48" s="59"/>
    </row>
    <row r="49" spans="1:20" ht="15" customHeight="1">
      <c r="A49" s="941">
        <v>21</v>
      </c>
      <c r="B49" s="941" t="s">
        <v>558</v>
      </c>
      <c r="C49" s="941" t="s">
        <v>559</v>
      </c>
      <c r="D49" s="941" t="s">
        <v>495</v>
      </c>
      <c r="E49" s="941" t="s">
        <v>506</v>
      </c>
      <c r="F49" s="941" t="s">
        <v>560</v>
      </c>
      <c r="G49" s="941">
        <v>2016</v>
      </c>
      <c r="H49" s="941">
        <v>2019</v>
      </c>
      <c r="I49" s="942"/>
      <c r="J49" s="942"/>
      <c r="K49" s="942"/>
      <c r="L49" s="942"/>
      <c r="M49" s="942"/>
      <c r="N49" s="942"/>
      <c r="O49" s="942">
        <v>1670000</v>
      </c>
      <c r="P49" s="942">
        <v>1670000</v>
      </c>
      <c r="Q49" s="942">
        <v>1470000</v>
      </c>
      <c r="R49" s="942">
        <v>1470000</v>
      </c>
      <c r="S49" s="943">
        <f t="shared" si="1"/>
        <v>6280000</v>
      </c>
      <c r="T49" s="59"/>
    </row>
    <row r="50" spans="1:20" ht="15" customHeight="1">
      <c r="A50" s="948">
        <v>22</v>
      </c>
      <c r="B50" s="948" t="s">
        <v>561</v>
      </c>
      <c r="C50" s="948" t="s">
        <v>562</v>
      </c>
      <c r="D50" s="948" t="s">
        <v>495</v>
      </c>
      <c r="E50" s="948" t="s">
        <v>563</v>
      </c>
      <c r="F50" s="948" t="s">
        <v>564</v>
      </c>
      <c r="G50" s="948">
        <v>2016</v>
      </c>
      <c r="H50" s="948">
        <v>2019</v>
      </c>
      <c r="I50" s="949"/>
      <c r="J50" s="949"/>
      <c r="K50" s="949"/>
      <c r="L50" s="949"/>
      <c r="M50" s="949"/>
      <c r="N50" s="949"/>
      <c r="O50" s="949">
        <v>2622000</v>
      </c>
      <c r="P50" s="949">
        <v>1484000</v>
      </c>
      <c r="Q50" s="949">
        <v>2077000</v>
      </c>
      <c r="R50" s="949">
        <v>2365000</v>
      </c>
      <c r="S50" s="950">
        <f t="shared" si="1"/>
        <v>8548000</v>
      </c>
      <c r="T50" s="59"/>
    </row>
    <row r="51" spans="1:20" ht="15" customHeight="1">
      <c r="A51" s="944">
        <v>23</v>
      </c>
      <c r="B51" s="944" t="s">
        <v>565</v>
      </c>
      <c r="C51" s="944" t="s">
        <v>737</v>
      </c>
      <c r="D51" s="944" t="s">
        <v>495</v>
      </c>
      <c r="E51" s="944" t="s">
        <v>500</v>
      </c>
      <c r="F51" s="944" t="s">
        <v>501</v>
      </c>
      <c r="G51" s="944">
        <v>2016</v>
      </c>
      <c r="H51" s="944">
        <v>2019</v>
      </c>
      <c r="I51" s="945"/>
      <c r="J51" s="945"/>
      <c r="K51" s="945"/>
      <c r="L51" s="945"/>
      <c r="M51" s="945"/>
      <c r="N51" s="945"/>
      <c r="O51" s="945">
        <v>4951200</v>
      </c>
      <c r="P51" s="945">
        <v>5701200</v>
      </c>
      <c r="Q51" s="945">
        <v>6453000</v>
      </c>
      <c r="R51" s="945">
        <v>6933000</v>
      </c>
      <c r="S51" s="946">
        <f t="shared" si="1"/>
        <v>24038400</v>
      </c>
      <c r="T51" s="59"/>
    </row>
    <row r="52" spans="1:20" ht="15" customHeight="1">
      <c r="A52" s="976"/>
      <c r="B52" s="976"/>
      <c r="C52" s="976"/>
      <c r="D52" s="976"/>
      <c r="E52" s="976"/>
      <c r="F52" s="976" t="s">
        <v>502</v>
      </c>
      <c r="G52" s="976"/>
      <c r="H52" s="976"/>
      <c r="I52" s="977"/>
      <c r="J52" s="977"/>
      <c r="K52" s="977"/>
      <c r="L52" s="977"/>
      <c r="M52" s="977"/>
      <c r="N52" s="977"/>
      <c r="O52" s="977">
        <v>1440000</v>
      </c>
      <c r="P52" s="977">
        <v>1440000</v>
      </c>
      <c r="Q52" s="977">
        <v>1440000</v>
      </c>
      <c r="R52" s="977">
        <v>1440000</v>
      </c>
      <c r="S52" s="978">
        <f t="shared" si="1"/>
        <v>5760000</v>
      </c>
      <c r="T52" s="59"/>
    </row>
    <row r="53" spans="1:20" ht="15" customHeight="1">
      <c r="A53" s="999"/>
      <c r="B53" s="972"/>
      <c r="C53" s="972"/>
      <c r="D53" s="972"/>
      <c r="E53" s="972"/>
      <c r="F53" s="972" t="s">
        <v>503</v>
      </c>
      <c r="G53" s="972"/>
      <c r="H53" s="972"/>
      <c r="I53" s="973"/>
      <c r="J53" s="973"/>
      <c r="K53" s="973"/>
      <c r="L53" s="973"/>
      <c r="M53" s="973"/>
      <c r="N53" s="973"/>
      <c r="O53" s="973">
        <v>1440000</v>
      </c>
      <c r="P53" s="973">
        <v>1560000</v>
      </c>
      <c r="Q53" s="973">
        <v>1560000</v>
      </c>
      <c r="R53" s="973">
        <v>1620000</v>
      </c>
      <c r="S53" s="974">
        <f t="shared" si="1"/>
        <v>6180000</v>
      </c>
      <c r="T53" s="59"/>
    </row>
    <row r="54" spans="1:20" ht="15" customHeight="1">
      <c r="A54" s="944">
        <v>24</v>
      </c>
      <c r="B54" s="944" t="s">
        <v>566</v>
      </c>
      <c r="C54" s="944" t="s">
        <v>567</v>
      </c>
      <c r="D54" s="944" t="s">
        <v>495</v>
      </c>
      <c r="E54" s="944" t="s">
        <v>568</v>
      </c>
      <c r="F54" s="944" t="s">
        <v>569</v>
      </c>
      <c r="G54" s="944">
        <v>2016</v>
      </c>
      <c r="H54" s="944">
        <v>2019</v>
      </c>
      <c r="I54" s="945"/>
      <c r="J54" s="945"/>
      <c r="K54" s="945"/>
      <c r="L54" s="945"/>
      <c r="M54" s="945"/>
      <c r="N54" s="945"/>
      <c r="O54" s="945">
        <v>4131000</v>
      </c>
      <c r="P54" s="945">
        <v>4491000</v>
      </c>
      <c r="Q54" s="945">
        <v>4671000</v>
      </c>
      <c r="R54" s="945">
        <v>4851000</v>
      </c>
      <c r="S54" s="946">
        <f t="shared" si="1"/>
        <v>18144000</v>
      </c>
      <c r="T54" s="59"/>
    </row>
    <row r="55" spans="1:20" ht="15" customHeight="1">
      <c r="A55" s="1000"/>
      <c r="B55" s="967"/>
      <c r="C55" s="967"/>
      <c r="D55" s="967"/>
      <c r="E55" s="967"/>
      <c r="F55" s="967" t="s">
        <v>736</v>
      </c>
      <c r="G55" s="967"/>
      <c r="H55" s="967"/>
      <c r="I55" s="968"/>
      <c r="J55" s="968"/>
      <c r="K55" s="968"/>
      <c r="L55" s="968"/>
      <c r="M55" s="968"/>
      <c r="N55" s="968"/>
      <c r="O55" s="968">
        <v>2754000</v>
      </c>
      <c r="P55" s="968">
        <v>2994000</v>
      </c>
      <c r="Q55" s="968">
        <v>3114000</v>
      </c>
      <c r="R55" s="968">
        <v>3234000</v>
      </c>
      <c r="S55" s="969">
        <f t="shared" si="1"/>
        <v>12096000</v>
      </c>
      <c r="T55" s="59"/>
    </row>
    <row r="56" spans="1:20" ht="15" customHeight="1">
      <c r="A56" s="999"/>
      <c r="B56" s="972"/>
      <c r="C56" s="972"/>
      <c r="D56" s="972"/>
      <c r="E56" s="972"/>
      <c r="F56" s="972" t="s">
        <v>503</v>
      </c>
      <c r="G56" s="972"/>
      <c r="H56" s="972"/>
      <c r="I56" s="973"/>
      <c r="J56" s="973"/>
      <c r="K56" s="973"/>
      <c r="L56" s="973"/>
      <c r="M56" s="973"/>
      <c r="N56" s="973"/>
      <c r="O56" s="973">
        <v>1377000</v>
      </c>
      <c r="P56" s="973">
        <v>1497000</v>
      </c>
      <c r="Q56" s="973">
        <v>1557000</v>
      </c>
      <c r="R56" s="973">
        <v>1617000</v>
      </c>
      <c r="S56" s="974">
        <f t="shared" si="1"/>
        <v>6048000</v>
      </c>
      <c r="T56" s="59"/>
    </row>
    <row r="57" spans="1:20" ht="15" customHeight="1">
      <c r="A57" s="941">
        <v>25</v>
      </c>
      <c r="B57" s="941" t="s">
        <v>1260</v>
      </c>
      <c r="C57" s="941" t="s">
        <v>1261</v>
      </c>
      <c r="D57" s="941" t="s">
        <v>495</v>
      </c>
      <c r="E57" s="941"/>
      <c r="F57" s="941" t="s">
        <v>497</v>
      </c>
      <c r="G57" s="941">
        <v>2019</v>
      </c>
      <c r="H57" s="941">
        <v>2022</v>
      </c>
      <c r="I57" s="942"/>
      <c r="J57" s="942"/>
      <c r="K57" s="942"/>
      <c r="L57" s="942"/>
      <c r="M57" s="942"/>
      <c r="N57" s="942"/>
      <c r="O57" s="942"/>
      <c r="P57" s="942"/>
      <c r="Q57" s="942"/>
      <c r="R57" s="942">
        <v>12961000</v>
      </c>
      <c r="S57" s="943">
        <f>SUM(M57:R57)</f>
        <v>12961000</v>
      </c>
      <c r="T57" s="59"/>
    </row>
    <row r="58" spans="1:20" ht="15" customHeight="1">
      <c r="A58" s="941">
        <v>26</v>
      </c>
      <c r="B58" s="941" t="s">
        <v>1262</v>
      </c>
      <c r="C58" s="941" t="s">
        <v>1263</v>
      </c>
      <c r="D58" s="941" t="s">
        <v>495</v>
      </c>
      <c r="E58" s="941"/>
      <c r="F58" s="941" t="s">
        <v>497</v>
      </c>
      <c r="G58" s="941">
        <v>2019</v>
      </c>
      <c r="H58" s="941">
        <v>2022</v>
      </c>
      <c r="I58" s="942"/>
      <c r="J58" s="942"/>
      <c r="K58" s="942"/>
      <c r="L58" s="942"/>
      <c r="M58" s="942"/>
      <c r="N58" s="942"/>
      <c r="O58" s="942"/>
      <c r="P58" s="942"/>
      <c r="Q58" s="942"/>
      <c r="R58" s="942">
        <v>7499000</v>
      </c>
      <c r="S58" s="943">
        <f>SUM(M58:R58)</f>
        <v>7499000</v>
      </c>
      <c r="T58" s="59"/>
    </row>
    <row r="59" spans="1:20" ht="15" customHeight="1">
      <c r="A59" s="951"/>
      <c r="B59" s="951"/>
      <c r="C59" s="951"/>
      <c r="D59" s="951"/>
      <c r="E59" s="951"/>
      <c r="F59" s="951" t="s">
        <v>514</v>
      </c>
      <c r="G59" s="951">
        <v>2019</v>
      </c>
      <c r="H59" s="951"/>
      <c r="I59" s="952"/>
      <c r="J59" s="952"/>
      <c r="K59" s="952"/>
      <c r="L59" s="952"/>
      <c r="M59" s="952"/>
      <c r="N59" s="952"/>
      <c r="O59" s="952"/>
      <c r="P59" s="952"/>
      <c r="Q59" s="952"/>
      <c r="R59" s="952">
        <v>1266000</v>
      </c>
      <c r="S59" s="952">
        <f>SUM(M59:R59)</f>
        <v>1266000</v>
      </c>
      <c r="T59" s="59"/>
    </row>
    <row r="60" spans="1:20" ht="18">
      <c r="A60" s="955"/>
      <c r="B60" s="955"/>
      <c r="C60" s="955"/>
      <c r="D60" s="955"/>
      <c r="E60" s="955"/>
      <c r="F60" s="955"/>
      <c r="G60" s="955"/>
      <c r="H60" s="955"/>
      <c r="I60" s="956"/>
      <c r="J60" s="956"/>
      <c r="K60" s="956"/>
      <c r="L60" s="956"/>
      <c r="M60" s="956"/>
      <c r="N60" s="956"/>
      <c r="O60" s="956"/>
      <c r="P60" s="956"/>
      <c r="Q60" s="955"/>
      <c r="R60" s="955"/>
      <c r="S60" s="1072">
        <f>SUM(S26:S59)</f>
        <v>592351400</v>
      </c>
      <c r="T60" s="1074"/>
    </row>
    <row r="61" ht="15">
      <c r="S61" s="982">
        <f>S22</f>
        <v>592351400</v>
      </c>
    </row>
  </sheetData>
  <sheetProtection/>
  <mergeCells count="1">
    <mergeCell ref="A3:B3"/>
  </mergeCells>
  <printOptions horizontalCentered="1"/>
  <pageMargins left="0" right="0" top="0.5905511811023623" bottom="0.3937007874015748" header="0.31496062992125984" footer="0.11811023622047245"/>
  <pageSetup fitToHeight="0" fitToWidth="1" horizontalDpi="600" verticalDpi="600" orientation="landscape" paperSize="9" scale="52" r:id="rId1"/>
  <headerFooter>
    <oddHeader>&amp;C&amp;18&amp;A</oddHeader>
    <oddFooter>&amp;C&amp;F</oddFooter>
  </headerFooter>
  <colBreaks count="2" manualBreakCount="2">
    <brk id="5" min="1" max="59" man="1"/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48"/>
  <sheetViews>
    <sheetView showZeros="0" workbookViewId="0" topLeftCell="A1">
      <pane xSplit="2" ySplit="3" topLeftCell="C1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G21" sqref="G21"/>
    </sheetView>
  </sheetViews>
  <sheetFormatPr defaultColWidth="9.33203125" defaultRowHeight="12.75" customHeight="1"/>
  <cols>
    <col min="1" max="1" width="5.33203125" style="0" customWidth="1"/>
    <col min="2" max="2" width="18.83203125" style="0" customWidth="1"/>
    <col min="3" max="4" width="14.5" style="0" customWidth="1"/>
    <col min="5" max="5" width="14.83203125" style="0" customWidth="1"/>
    <col min="6" max="6" width="9.16015625" style="0" customWidth="1"/>
    <col min="7" max="7" width="13.33203125" style="16" bestFit="1" customWidth="1"/>
    <col min="8" max="9" width="14.83203125" style="0" customWidth="1"/>
    <col min="10" max="10" width="11.66015625" style="0" bestFit="1" customWidth="1"/>
  </cols>
  <sheetData>
    <row r="2" spans="6:7" ht="12.75" customHeight="1">
      <c r="F2" s="16"/>
      <c r="G2"/>
    </row>
    <row r="3" spans="1:8" ht="51" customHeight="1">
      <c r="A3" s="1244" t="s">
        <v>1241</v>
      </c>
      <c r="B3" s="1244"/>
      <c r="C3" s="1106" t="s">
        <v>1238</v>
      </c>
      <c r="D3" s="72" t="s">
        <v>1239</v>
      </c>
      <c r="E3" s="72" t="s">
        <v>1240</v>
      </c>
      <c r="F3" s="72" t="s">
        <v>447</v>
      </c>
      <c r="G3" s="257" t="s">
        <v>374</v>
      </c>
      <c r="H3" s="253" t="s">
        <v>576</v>
      </c>
    </row>
    <row r="4" spans="1:9" ht="12.75" customHeight="1">
      <c r="A4" s="13" t="s">
        <v>376</v>
      </c>
      <c r="B4" s="14" t="s">
        <v>371</v>
      </c>
      <c r="C4" s="74">
        <f>'4.5.a) Projekty'!C4</f>
        <v>0</v>
      </c>
      <c r="D4" s="35">
        <f>'4.5.b) Velké infrastruktury'!C4</f>
        <v>0</v>
      </c>
      <c r="E4" s="35">
        <f aca="true" t="shared" si="0" ref="E4:E21">ROUND(SUM(C4:D4),0)</f>
        <v>0</v>
      </c>
      <c r="F4" s="77"/>
      <c r="G4" s="258">
        <f aca="true" t="shared" si="1" ref="G4:G19">ROUND(E4*D$48,0)</f>
        <v>0</v>
      </c>
      <c r="H4" s="254">
        <f>E4-G4</f>
        <v>0</v>
      </c>
      <c r="I4" s="293" t="s">
        <v>371</v>
      </c>
    </row>
    <row r="5" spans="1:9" ht="12.75" customHeight="1">
      <c r="A5" s="13" t="s">
        <v>377</v>
      </c>
      <c r="B5" s="14" t="s">
        <v>68</v>
      </c>
      <c r="C5" s="74">
        <f>'4.5.a) Projekty'!C5</f>
        <v>0</v>
      </c>
      <c r="D5" s="35">
        <f>'4.5.b) Velké infrastruktury'!C5</f>
        <v>0</v>
      </c>
      <c r="E5" s="35">
        <f t="shared" si="0"/>
        <v>0</v>
      </c>
      <c r="F5" s="77"/>
      <c r="G5" s="258">
        <f t="shared" si="1"/>
        <v>0</v>
      </c>
      <c r="H5" s="254">
        <f aca="true" t="shared" si="2" ref="H5:H19">E5-G5</f>
        <v>0</v>
      </c>
      <c r="I5" s="293" t="s">
        <v>68</v>
      </c>
    </row>
    <row r="6" spans="1:9" ht="12.75" customHeight="1">
      <c r="A6" s="13" t="s">
        <v>378</v>
      </c>
      <c r="B6" s="14" t="s">
        <v>372</v>
      </c>
      <c r="C6" s="74">
        <f>'4.5.a) Projekty'!C6</f>
        <v>0</v>
      </c>
      <c r="D6" s="35">
        <f>'4.5.b) Velké infrastruktury'!C6</f>
        <v>0</v>
      </c>
      <c r="E6" s="35">
        <f t="shared" si="0"/>
        <v>0</v>
      </c>
      <c r="F6" s="77"/>
      <c r="G6" s="258">
        <f t="shared" si="1"/>
        <v>0</v>
      </c>
      <c r="H6" s="254">
        <f t="shared" si="2"/>
        <v>0</v>
      </c>
      <c r="I6" s="293" t="s">
        <v>372</v>
      </c>
    </row>
    <row r="7" spans="1:9" ht="12.75" customHeight="1">
      <c r="A7" s="13" t="s">
        <v>379</v>
      </c>
      <c r="B7" s="14" t="s">
        <v>42</v>
      </c>
      <c r="C7" s="74">
        <f>'4.5.a) Projekty'!C7</f>
        <v>0</v>
      </c>
      <c r="D7" s="35">
        <f>'4.5.b) Velké infrastruktury'!C7</f>
        <v>0</v>
      </c>
      <c r="E7" s="35">
        <f t="shared" si="0"/>
        <v>0</v>
      </c>
      <c r="F7" s="77"/>
      <c r="G7" s="258">
        <f t="shared" si="1"/>
        <v>0</v>
      </c>
      <c r="H7" s="254">
        <f t="shared" si="2"/>
        <v>0</v>
      </c>
      <c r="I7" s="293" t="s">
        <v>42</v>
      </c>
    </row>
    <row r="8" spans="1:9" ht="12.75" customHeight="1">
      <c r="A8" s="13" t="s">
        <v>380</v>
      </c>
      <c r="B8" s="14" t="s">
        <v>8</v>
      </c>
      <c r="C8" s="74">
        <f>'4.5.a) Projekty'!C8</f>
        <v>5087202</v>
      </c>
      <c r="D8" s="35">
        <f>'4.5.b) Velké infrastruktury'!C8</f>
        <v>1455798</v>
      </c>
      <c r="E8" s="35">
        <f t="shared" si="0"/>
        <v>6543000</v>
      </c>
      <c r="F8" s="77"/>
      <c r="G8" s="258">
        <f t="shared" si="1"/>
        <v>4422685</v>
      </c>
      <c r="H8" s="254">
        <f t="shared" si="2"/>
        <v>2120315</v>
      </c>
      <c r="I8" s="293" t="s">
        <v>8</v>
      </c>
    </row>
    <row r="9" spans="1:9" ht="12.75" customHeight="1">
      <c r="A9" s="13" t="s">
        <v>381</v>
      </c>
      <c r="B9" s="14" t="s">
        <v>22</v>
      </c>
      <c r="C9" s="74">
        <f>'4.5.a) Projekty'!C9</f>
        <v>0</v>
      </c>
      <c r="D9" s="35">
        <f>'4.5.b) Velké infrastruktury'!C9</f>
        <v>204203</v>
      </c>
      <c r="E9" s="35">
        <f t="shared" si="0"/>
        <v>204203</v>
      </c>
      <c r="F9" s="77"/>
      <c r="G9" s="258">
        <f t="shared" si="1"/>
        <v>138029</v>
      </c>
      <c r="H9" s="254">
        <f t="shared" si="2"/>
        <v>66174</v>
      </c>
      <c r="I9" s="293" t="s">
        <v>22</v>
      </c>
    </row>
    <row r="10" spans="1:9" ht="12.75" customHeight="1">
      <c r="A10" s="13" t="s">
        <v>382</v>
      </c>
      <c r="B10" s="14" t="s">
        <v>21</v>
      </c>
      <c r="C10" s="74">
        <f>'4.5.a) Projekty'!C10</f>
        <v>0</v>
      </c>
      <c r="D10" s="35">
        <f>'4.5.b) Velké infrastruktury'!C10</f>
        <v>0</v>
      </c>
      <c r="E10" s="35">
        <f t="shared" si="0"/>
        <v>0</v>
      </c>
      <c r="F10" s="77"/>
      <c r="G10" s="258">
        <f t="shared" si="1"/>
        <v>0</v>
      </c>
      <c r="H10" s="254">
        <f t="shared" si="2"/>
        <v>0</v>
      </c>
      <c r="I10" s="293" t="s">
        <v>21</v>
      </c>
    </row>
    <row r="11" spans="1:9" ht="12.75" customHeight="1">
      <c r="A11" s="13" t="s">
        <v>383</v>
      </c>
      <c r="B11" s="14" t="s">
        <v>23</v>
      </c>
      <c r="C11" s="74">
        <f>'4.5.a) Projekty'!C11</f>
        <v>16194114</v>
      </c>
      <c r="D11" s="35">
        <f>'4.5.b) Velké infrastruktury'!C11</f>
        <v>267206</v>
      </c>
      <c r="E11" s="35">
        <f t="shared" si="0"/>
        <v>16461320</v>
      </c>
      <c r="F11" s="77"/>
      <c r="G11" s="258">
        <f t="shared" si="1"/>
        <v>11126888</v>
      </c>
      <c r="H11" s="254">
        <f t="shared" si="2"/>
        <v>5334432</v>
      </c>
      <c r="I11" s="293" t="s">
        <v>23</v>
      </c>
    </row>
    <row r="12" spans="1:9" ht="12.75" customHeight="1">
      <c r="A12" s="13" t="s">
        <v>384</v>
      </c>
      <c r="B12" s="14" t="s">
        <v>24</v>
      </c>
      <c r="C12" s="74">
        <f>'4.5.a) Projekty'!C12</f>
        <v>2851135</v>
      </c>
      <c r="D12" s="35">
        <f>'4.5.b) Velké infrastruktury'!C12</f>
        <v>191778</v>
      </c>
      <c r="E12" s="35">
        <f t="shared" si="0"/>
        <v>3042913</v>
      </c>
      <c r="F12" s="77"/>
      <c r="G12" s="258">
        <f t="shared" si="1"/>
        <v>2056831</v>
      </c>
      <c r="H12" s="254">
        <f t="shared" si="2"/>
        <v>986082</v>
      </c>
      <c r="I12" s="293" t="s">
        <v>24</v>
      </c>
    </row>
    <row r="13" spans="1:9" ht="12.75" customHeight="1">
      <c r="A13" s="13" t="s">
        <v>385</v>
      </c>
      <c r="B13" s="14" t="s">
        <v>31</v>
      </c>
      <c r="C13" s="74">
        <f>'4.5.a) Projekty'!C13</f>
        <v>2851135</v>
      </c>
      <c r="D13" s="35">
        <f>'4.5.b) Velké infrastruktury'!C13</f>
        <v>0</v>
      </c>
      <c r="E13" s="35">
        <f t="shared" si="0"/>
        <v>2851135</v>
      </c>
      <c r="F13" s="77"/>
      <c r="G13" s="258">
        <f t="shared" si="1"/>
        <v>1927200</v>
      </c>
      <c r="H13" s="254">
        <f t="shared" si="2"/>
        <v>923935</v>
      </c>
      <c r="I13" s="293" t="s">
        <v>31</v>
      </c>
    </row>
    <row r="14" spans="1:9" ht="12.75" customHeight="1">
      <c r="A14" s="13" t="s">
        <v>386</v>
      </c>
      <c r="B14" s="14" t="s">
        <v>37</v>
      </c>
      <c r="C14" s="74">
        <f>'4.5.a) Projekty'!C14</f>
        <v>0</v>
      </c>
      <c r="D14" s="35">
        <f>'4.5.b) Velké infrastruktury'!C14</f>
        <v>2082396</v>
      </c>
      <c r="E14" s="35">
        <f t="shared" si="0"/>
        <v>2082396</v>
      </c>
      <c r="F14" s="77"/>
      <c r="G14" s="258">
        <f t="shared" si="1"/>
        <v>1407578</v>
      </c>
      <c r="H14" s="254">
        <f t="shared" si="2"/>
        <v>674818</v>
      </c>
      <c r="I14" s="293" t="s">
        <v>37</v>
      </c>
    </row>
    <row r="15" spans="1:9" ht="12.75" customHeight="1">
      <c r="A15" s="13" t="s">
        <v>387</v>
      </c>
      <c r="B15" s="14" t="s">
        <v>72</v>
      </c>
      <c r="C15" s="74">
        <f>'4.5.a) Projekty'!C15</f>
        <v>13375718</v>
      </c>
      <c r="D15" s="35">
        <f>'4.5.b) Velké infrastruktury'!C15</f>
        <v>278483</v>
      </c>
      <c r="E15" s="35">
        <f t="shared" si="0"/>
        <v>13654201</v>
      </c>
      <c r="F15" s="77"/>
      <c r="G15" s="258">
        <f t="shared" si="1"/>
        <v>9229440</v>
      </c>
      <c r="H15" s="254">
        <f t="shared" si="2"/>
        <v>4424761</v>
      </c>
      <c r="I15" s="293" t="s">
        <v>72</v>
      </c>
    </row>
    <row r="16" spans="1:9" ht="12.75" customHeight="1">
      <c r="A16" s="13" t="s">
        <v>388</v>
      </c>
      <c r="B16" s="14" t="s">
        <v>81</v>
      </c>
      <c r="C16" s="74">
        <f>'4.5.a) Projekty'!C16</f>
        <v>5288201</v>
      </c>
      <c r="D16" s="45">
        <f>'4.5.b) Velké infrastruktury'!C16</f>
        <v>5520136</v>
      </c>
      <c r="E16" s="35">
        <f t="shared" si="0"/>
        <v>10808337</v>
      </c>
      <c r="F16" s="77"/>
      <c r="G16" s="258">
        <f t="shared" si="1"/>
        <v>7305803</v>
      </c>
      <c r="H16" s="254">
        <f t="shared" si="2"/>
        <v>3502534</v>
      </c>
      <c r="I16" s="293" t="s">
        <v>81</v>
      </c>
    </row>
    <row r="17" spans="1:9" ht="12.75" customHeight="1">
      <c r="A17" s="13" t="s">
        <v>389</v>
      </c>
      <c r="B17" s="14" t="s">
        <v>87</v>
      </c>
      <c r="C17" s="74">
        <f>'4.5.a) Projekty'!C17</f>
        <v>0</v>
      </c>
      <c r="D17" s="35">
        <f>'4.5.b) Velké infrastruktury'!C17</f>
        <v>0</v>
      </c>
      <c r="E17" s="35">
        <f t="shared" si="0"/>
        <v>0</v>
      </c>
      <c r="F17" s="77"/>
      <c r="G17" s="258">
        <f t="shared" si="1"/>
        <v>0</v>
      </c>
      <c r="H17" s="254">
        <f t="shared" si="2"/>
        <v>0</v>
      </c>
      <c r="I17" s="293" t="s">
        <v>87</v>
      </c>
    </row>
    <row r="18" spans="1:9" ht="12.75" customHeight="1">
      <c r="A18" s="13" t="s">
        <v>390</v>
      </c>
      <c r="B18" s="14" t="s">
        <v>45</v>
      </c>
      <c r="C18" s="74">
        <f>'4.5.a) Projekty'!C18</f>
        <v>5583514</v>
      </c>
      <c r="D18" s="35">
        <f>'4.5.b) Velké infrastruktury'!C18</f>
        <v>0</v>
      </c>
      <c r="E18" s="35">
        <f t="shared" si="0"/>
        <v>5583514</v>
      </c>
      <c r="F18" s="77"/>
      <c r="G18" s="258">
        <f t="shared" si="1"/>
        <v>3774128</v>
      </c>
      <c r="H18" s="254">
        <f t="shared" si="2"/>
        <v>1809386</v>
      </c>
      <c r="I18" s="293" t="s">
        <v>45</v>
      </c>
    </row>
    <row r="19" spans="1:9" ht="12.75" customHeight="1">
      <c r="A19" s="13" t="s">
        <v>391</v>
      </c>
      <c r="B19" s="14" t="s">
        <v>94</v>
      </c>
      <c r="C19" s="74">
        <f>'4.5.a) Projekty'!C19</f>
        <v>6885005</v>
      </c>
      <c r="D19" s="35">
        <f>'4.5.b) Velké infrastruktury'!C19</f>
        <v>0</v>
      </c>
      <c r="E19" s="35">
        <f t="shared" si="0"/>
        <v>6885005</v>
      </c>
      <c r="F19" s="77"/>
      <c r="G19" s="258">
        <f t="shared" si="1"/>
        <v>4653860</v>
      </c>
      <c r="H19" s="254">
        <f t="shared" si="2"/>
        <v>2231145</v>
      </c>
      <c r="I19" s="293" t="s">
        <v>94</v>
      </c>
    </row>
    <row r="20" spans="1:9" ht="12.75" customHeight="1">
      <c r="A20" s="13" t="s">
        <v>392</v>
      </c>
      <c r="B20" s="14" t="s">
        <v>58</v>
      </c>
      <c r="C20" s="74">
        <f>'4.5.a) Projekty'!C20</f>
        <v>4873865</v>
      </c>
      <c r="D20" s="35">
        <f>'4.5.b) Velké infrastruktury'!C20</f>
        <v>0</v>
      </c>
      <c r="E20" s="35">
        <f t="shared" si="0"/>
        <v>4873865</v>
      </c>
      <c r="F20" s="77"/>
      <c r="G20" s="1132">
        <f>ROUND(E20*D$48,0)</f>
        <v>3294447</v>
      </c>
      <c r="H20" s="254">
        <f>E20-G20</f>
        <v>1579418</v>
      </c>
      <c r="I20" s="293" t="s">
        <v>58</v>
      </c>
    </row>
    <row r="21" spans="1:9" ht="12.75" customHeight="1">
      <c r="A21" s="13" t="s">
        <v>393</v>
      </c>
      <c r="B21" s="14" t="s">
        <v>373</v>
      </c>
      <c r="C21" s="74">
        <f>'4.5.a) Projekty'!C21</f>
        <v>0</v>
      </c>
      <c r="D21" s="35">
        <f>'4.5.b) Velké infrastruktury'!C21</f>
        <v>0</v>
      </c>
      <c r="E21" s="35">
        <f t="shared" si="0"/>
        <v>0</v>
      </c>
      <c r="F21" s="77"/>
      <c r="G21" s="258">
        <f>ROUND(E21*D$48,0)</f>
        <v>0</v>
      </c>
      <c r="H21" s="254">
        <f>E21-G21</f>
        <v>0</v>
      </c>
      <c r="I21" s="293" t="s">
        <v>373</v>
      </c>
    </row>
    <row r="22" spans="1:9" ht="12.75" customHeight="1">
      <c r="A22" s="49" t="s">
        <v>421</v>
      </c>
      <c r="B22" s="50"/>
      <c r="C22" s="381">
        <f>SUM(C4:C21)</f>
        <v>62989889</v>
      </c>
      <c r="D22" s="36">
        <f>SUM(D4:D21)</f>
        <v>10000000</v>
      </c>
      <c r="E22" s="36">
        <f>SUM(E4:E21)</f>
        <v>72989889</v>
      </c>
      <c r="F22" s="77"/>
      <c r="G22" s="259">
        <f>SUM(G4:G21)</f>
        <v>49336889</v>
      </c>
      <c r="H22" s="255">
        <f>SUM(H4:H21)</f>
        <v>23653000</v>
      </c>
      <c r="I22" s="264">
        <f>SUM(G22:H22)</f>
        <v>72989889</v>
      </c>
    </row>
    <row r="23" spans="1:9" ht="12.75" customHeight="1">
      <c r="A23" s="73"/>
      <c r="B23" s="53"/>
      <c r="D23" s="59"/>
      <c r="E23" s="59"/>
      <c r="F23" s="77"/>
      <c r="G23" s="59"/>
      <c r="H23" s="59"/>
      <c r="I23" s="390"/>
    </row>
    <row r="24" spans="1:9" ht="12.75" customHeight="1">
      <c r="A24" s="243" t="s">
        <v>401</v>
      </c>
      <c r="B24" s="244" t="s">
        <v>402</v>
      </c>
      <c r="C24" s="245">
        <f>'4.5.a) Projekty'!C24</f>
        <v>0</v>
      </c>
      <c r="D24" s="247"/>
      <c r="E24" s="247">
        <f>SUM(C24:D24)</f>
        <v>0</v>
      </c>
      <c r="F24" s="77"/>
      <c r="G24" s="247">
        <f>ROUND(E24*D$48,0)</f>
        <v>0</v>
      </c>
      <c r="H24" s="247"/>
      <c r="I24" s="293" t="s">
        <v>402</v>
      </c>
    </row>
    <row r="25" spans="1:9" ht="12.75" customHeight="1">
      <c r="A25" s="13" t="s">
        <v>403</v>
      </c>
      <c r="B25" s="14" t="s">
        <v>419</v>
      </c>
      <c r="C25" s="74">
        <f>SUM(C26:C32)</f>
        <v>3010111</v>
      </c>
      <c r="D25" s="35">
        <f>SUM(D26:D32)</f>
        <v>0</v>
      </c>
      <c r="E25" s="35">
        <f aca="true" t="shared" si="3" ref="E25:E33">ROUND(SUM(C25:D25),0)</f>
        <v>3010111</v>
      </c>
      <c r="F25" s="77"/>
      <c r="G25" s="260">
        <f>SUM(G26:G32)</f>
        <v>3010111</v>
      </c>
      <c r="H25" s="256">
        <f>SUM(H26:H32)</f>
        <v>0</v>
      </c>
      <c r="I25" s="293"/>
    </row>
    <row r="26" spans="1:9" ht="12.75" customHeight="1">
      <c r="A26" s="54" t="s">
        <v>405</v>
      </c>
      <c r="B26" s="330" t="s">
        <v>406</v>
      </c>
      <c r="C26" s="806">
        <f>'4.5.a) Projekty'!C26</f>
        <v>0</v>
      </c>
      <c r="D26" s="809"/>
      <c r="E26" s="809">
        <f t="shared" si="3"/>
        <v>0</v>
      </c>
      <c r="F26" s="77"/>
      <c r="G26" s="815">
        <f>E26</f>
        <v>0</v>
      </c>
      <c r="H26" s="812"/>
      <c r="I26" s="611" t="s">
        <v>406</v>
      </c>
    </row>
    <row r="27" spans="1:9" ht="12.75" customHeight="1">
      <c r="A27" s="55"/>
      <c r="B27" s="331" t="s">
        <v>407</v>
      </c>
      <c r="C27" s="807">
        <f>'4.5.a) Projekty'!C27</f>
        <v>0</v>
      </c>
      <c r="D27" s="810"/>
      <c r="E27" s="810">
        <f t="shared" si="3"/>
        <v>0</v>
      </c>
      <c r="F27" s="77"/>
      <c r="G27" s="816">
        <f aca="true" t="shared" si="4" ref="G27:G32">D27</f>
        <v>0</v>
      </c>
      <c r="H27" s="813"/>
      <c r="I27" s="611" t="s">
        <v>407</v>
      </c>
    </row>
    <row r="28" spans="1:9" ht="12.75" customHeight="1">
      <c r="A28" s="55"/>
      <c r="B28" s="331" t="s">
        <v>408</v>
      </c>
      <c r="C28" s="807">
        <f>'4.5.a) Projekty'!C28</f>
        <v>0</v>
      </c>
      <c r="D28" s="810"/>
      <c r="E28" s="810">
        <f t="shared" si="3"/>
        <v>0</v>
      </c>
      <c r="F28" s="77"/>
      <c r="G28" s="816">
        <f t="shared" si="4"/>
        <v>0</v>
      </c>
      <c r="H28" s="813">
        <f>E28</f>
        <v>0</v>
      </c>
      <c r="I28" s="611" t="s">
        <v>408</v>
      </c>
    </row>
    <row r="29" spans="1:9" ht="12.75" customHeight="1">
      <c r="A29" s="55"/>
      <c r="B29" s="331" t="s">
        <v>409</v>
      </c>
      <c r="C29" s="807">
        <f>'4.5.a) Projekty'!C29</f>
        <v>0</v>
      </c>
      <c r="D29" s="810"/>
      <c r="E29" s="810">
        <f t="shared" si="3"/>
        <v>0</v>
      </c>
      <c r="F29" s="77"/>
      <c r="G29" s="816">
        <f t="shared" si="4"/>
        <v>0</v>
      </c>
      <c r="H29" s="813"/>
      <c r="I29" s="611" t="s">
        <v>409</v>
      </c>
    </row>
    <row r="30" spans="1:9" ht="12.75" customHeight="1">
      <c r="A30" s="55"/>
      <c r="B30" s="331" t="s">
        <v>411</v>
      </c>
      <c r="C30" s="1131">
        <f>'4.5.a) Projekty'!C30</f>
        <v>3010111</v>
      </c>
      <c r="D30" s="810"/>
      <c r="E30" s="810">
        <f t="shared" si="3"/>
        <v>3010111</v>
      </c>
      <c r="F30" s="77"/>
      <c r="G30" s="816">
        <f>E30</f>
        <v>3010111</v>
      </c>
      <c r="H30" s="813"/>
      <c r="I30" s="611" t="s">
        <v>411</v>
      </c>
    </row>
    <row r="31" spans="1:9" ht="12.75" customHeight="1">
      <c r="A31" s="55"/>
      <c r="B31" s="331" t="s">
        <v>412</v>
      </c>
      <c r="C31" s="807">
        <f>'4.5.a) Projekty'!C31</f>
        <v>0</v>
      </c>
      <c r="D31" s="810"/>
      <c r="E31" s="810">
        <f t="shared" si="3"/>
        <v>0</v>
      </c>
      <c r="F31" s="77"/>
      <c r="G31" s="816">
        <f t="shared" si="4"/>
        <v>0</v>
      </c>
      <c r="H31" s="813"/>
      <c r="I31" s="611" t="s">
        <v>412</v>
      </c>
    </row>
    <row r="32" spans="1:9" ht="12.75" customHeight="1">
      <c r="A32" s="57"/>
      <c r="B32" s="332" t="s">
        <v>413</v>
      </c>
      <c r="C32" s="808">
        <f>'4.5.a) Projekty'!C32</f>
        <v>0</v>
      </c>
      <c r="D32" s="811"/>
      <c r="E32" s="811">
        <f t="shared" si="3"/>
        <v>0</v>
      </c>
      <c r="F32" s="77"/>
      <c r="G32" s="817">
        <f t="shared" si="4"/>
        <v>0</v>
      </c>
      <c r="H32" s="814"/>
      <c r="I32" s="611" t="s">
        <v>413</v>
      </c>
    </row>
    <row r="33" spans="1:9" s="1" customFormat="1" ht="12.75" customHeight="1">
      <c r="A33" s="13" t="s">
        <v>414</v>
      </c>
      <c r="B33" s="14" t="s">
        <v>578</v>
      </c>
      <c r="C33" s="242">
        <f>'4.5.a) Projekty'!C33</f>
        <v>0</v>
      </c>
      <c r="D33" s="45"/>
      <c r="E33" s="45">
        <f t="shared" si="3"/>
        <v>0</v>
      </c>
      <c r="F33" s="77"/>
      <c r="G33" s="261">
        <f>E33</f>
        <v>0</v>
      </c>
      <c r="H33" s="262"/>
      <c r="I33" s="293" t="s">
        <v>415</v>
      </c>
    </row>
    <row r="34" spans="1:9" ht="12.75" customHeight="1">
      <c r="A34" s="243" t="s">
        <v>416</v>
      </c>
      <c r="B34" s="244" t="s">
        <v>417</v>
      </c>
      <c r="C34" s="248">
        <f>'4.5.a) Projekty'!C34</f>
        <v>0</v>
      </c>
      <c r="D34" s="249"/>
      <c r="E34" s="249">
        <f>SUM(C34:D34)</f>
        <v>0</v>
      </c>
      <c r="F34" s="77"/>
      <c r="G34" s="249"/>
      <c r="H34" s="249"/>
      <c r="I34" s="293" t="s">
        <v>417</v>
      </c>
    </row>
    <row r="35" spans="1:9" ht="12.75" customHeight="1">
      <c r="A35" s="13" t="s">
        <v>570</v>
      </c>
      <c r="B35" s="14" t="s">
        <v>571</v>
      </c>
      <c r="C35" s="74">
        <f>'4.5.a) Projekty'!C35</f>
        <v>0</v>
      </c>
      <c r="D35" s="35"/>
      <c r="E35" s="35">
        <f>ROUND(SUM(C35:D35),0)</f>
        <v>0</v>
      </c>
      <c r="F35" s="77"/>
      <c r="G35" s="260">
        <f>E35</f>
        <v>0</v>
      </c>
      <c r="H35" s="256"/>
      <c r="I35" s="293" t="s">
        <v>571</v>
      </c>
    </row>
    <row r="36" spans="1:9" ht="12.75" customHeight="1">
      <c r="A36" s="13" t="s">
        <v>649</v>
      </c>
      <c r="B36" s="14" t="s">
        <v>410</v>
      </c>
      <c r="C36" s="74">
        <f>'4.5.a) Projekty'!C36</f>
        <v>0</v>
      </c>
      <c r="D36" s="35"/>
      <c r="E36" s="810">
        <f>ROUND(SUM(C36:D36),0)</f>
        <v>0</v>
      </c>
      <c r="F36" s="77"/>
      <c r="G36" s="260">
        <f>E36</f>
        <v>0</v>
      </c>
      <c r="H36" s="256"/>
      <c r="I36" s="293" t="s">
        <v>410</v>
      </c>
    </row>
    <row r="37" spans="1:9" ht="12.75" customHeight="1">
      <c r="A37" s="15" t="s">
        <v>375</v>
      </c>
      <c r="B37" s="14"/>
      <c r="C37" s="75">
        <f>C22+C24+C25+SUM(C33:C36)</f>
        <v>66000000</v>
      </c>
      <c r="D37" s="36">
        <f>D22+D24+D25+SUM(D33:D36)</f>
        <v>10000000</v>
      </c>
      <c r="E37" s="36">
        <f>E22+E24+E25+SUM(E33:E36)</f>
        <v>76000000</v>
      </c>
      <c r="F37" s="77"/>
      <c r="G37" s="251">
        <f>G22+G24+G25+SUM(G33:G36)</f>
        <v>52347000</v>
      </c>
      <c r="H37" s="252">
        <f>H22+H24+H25+SUM(H33:H36)</f>
        <v>23653000</v>
      </c>
      <c r="I37" s="264">
        <f>SUM(G37:H37)</f>
        <v>76000000</v>
      </c>
    </row>
    <row r="38" spans="2:9" s="25" customFormat="1" ht="12.75" customHeight="1">
      <c r="B38" s="76"/>
      <c r="C38" s="77" t="e">
        <f>NA()</f>
        <v>#N/A</v>
      </c>
      <c r="D38" s="77"/>
      <c r="E38" s="77" t="e">
        <f>NA()</f>
        <v>#N/A</v>
      </c>
      <c r="F38" s="77"/>
      <c r="G38" s="263"/>
      <c r="H38" s="77"/>
      <c r="I38" s="77"/>
    </row>
    <row r="39" spans="2:9" s="25" customFormat="1" ht="12.75" customHeight="1">
      <c r="B39" s="76"/>
      <c r="C39" s="77"/>
      <c r="D39" s="77"/>
      <c r="E39" s="77"/>
      <c r="F39" s="77"/>
      <c r="G39" s="263"/>
      <c r="H39" s="77"/>
      <c r="I39" s="77"/>
    </row>
    <row r="40" spans="1:9" s="25" customFormat="1" ht="12.75" customHeight="1">
      <c r="A40" s="1236" t="s">
        <v>484</v>
      </c>
      <c r="B40" s="1236"/>
      <c r="C40" s="1236"/>
      <c r="D40" s="36">
        <f>SUM(D41:D42)</f>
        <v>76000000</v>
      </c>
      <c r="E40" s="42"/>
      <c r="F40" s="42"/>
      <c r="G40" s="4"/>
      <c r="H40" s="42"/>
      <c r="I40" s="42"/>
    </row>
    <row r="41" spans="1:9" s="25" customFormat="1" ht="12.75" customHeight="1">
      <c r="A41" s="1237" t="s">
        <v>374</v>
      </c>
      <c r="B41" s="1237"/>
      <c r="C41" s="1237"/>
      <c r="D41" s="251">
        <f>Bilance!C62</f>
        <v>52347000</v>
      </c>
      <c r="E41" s="42"/>
      <c r="F41" s="42"/>
      <c r="G41" s="4"/>
      <c r="H41" s="42"/>
      <c r="I41" s="42"/>
    </row>
    <row r="42" spans="1:9" s="25" customFormat="1" ht="12.75" customHeight="1">
      <c r="A42" s="1238" t="s">
        <v>576</v>
      </c>
      <c r="B42" s="1238"/>
      <c r="C42" s="1238"/>
      <c r="D42" s="252">
        <f>Bilance!C63</f>
        <v>23653000</v>
      </c>
      <c r="E42" s="42"/>
      <c r="F42" s="42"/>
      <c r="G42" s="4"/>
      <c r="H42" s="42"/>
      <c r="I42" s="42"/>
    </row>
    <row r="43" spans="2:9" s="25" customFormat="1" ht="9.75">
      <c r="B43" s="76"/>
      <c r="C43" s="77"/>
      <c r="D43" s="77"/>
      <c r="E43" s="42"/>
      <c r="F43" s="42"/>
      <c r="G43" s="4"/>
      <c r="H43" s="42"/>
      <c r="I43" s="42"/>
    </row>
    <row r="44" ht="12.75" customHeight="1">
      <c r="A44" t="s">
        <v>1243</v>
      </c>
    </row>
    <row r="45" spans="1:4" ht="12.75" customHeight="1">
      <c r="A45" s="1236" t="s">
        <v>577</v>
      </c>
      <c r="B45" s="1236"/>
      <c r="C45" s="1236"/>
      <c r="D45" s="36">
        <f>D46+D47</f>
        <v>72989889</v>
      </c>
    </row>
    <row r="46" spans="1:4" ht="12.75" customHeight="1">
      <c r="A46" s="1237" t="s">
        <v>374</v>
      </c>
      <c r="B46" s="1237"/>
      <c r="C46" s="1237"/>
      <c r="D46" s="251">
        <f>D41-G25-G33-G35-G36</f>
        <v>49336889</v>
      </c>
    </row>
    <row r="47" spans="1:4" ht="12.75" customHeight="1">
      <c r="A47" s="1238" t="s">
        <v>576</v>
      </c>
      <c r="B47" s="1238"/>
      <c r="C47" s="1238"/>
      <c r="D47" s="252">
        <f>D42-H25</f>
        <v>23653000</v>
      </c>
    </row>
    <row r="48" spans="1:4" ht="12.75" customHeight="1">
      <c r="A48" s="1236" t="s">
        <v>656</v>
      </c>
      <c r="B48" s="1236"/>
      <c r="C48" s="1236"/>
      <c r="D48" s="515">
        <f>D46/(D46+D47)</f>
        <v>0.6759414170365432</v>
      </c>
    </row>
  </sheetData>
  <sheetProtection/>
  <mergeCells count="8">
    <mergeCell ref="A47:C47"/>
    <mergeCell ref="A48:C48"/>
    <mergeCell ref="A3:B3"/>
    <mergeCell ref="A40:C40"/>
    <mergeCell ref="A41:C41"/>
    <mergeCell ref="A42:C42"/>
    <mergeCell ref="A45:C45"/>
    <mergeCell ref="A46:C46"/>
  </mergeCells>
  <conditionalFormatting sqref="D37:E37 G37:H37">
    <cfRule type="cellIs" priority="2" dxfId="25" operator="notEqual" stopIfTrue="1">
      <formula>NA()</formula>
    </cfRule>
  </conditionalFormatting>
  <conditionalFormatting sqref="C37">
    <cfRule type="cellIs" priority="1" dxfId="25" operator="notEqual" stopIfTrue="1">
      <formula>NA()</formula>
    </cfRule>
  </conditionalFormatting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0" r:id="rId1"/>
  <headerFooter alignWithMargins="0">
    <oddHeader>&amp;C&amp;16&amp;A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3:I38"/>
  <sheetViews>
    <sheetView showZeros="0" workbookViewId="0" topLeftCell="A4">
      <selection activeCell="A53" sqref="A53"/>
    </sheetView>
  </sheetViews>
  <sheetFormatPr defaultColWidth="9.33203125" defaultRowHeight="9.75" customHeight="1"/>
  <cols>
    <col min="1" max="1" width="5.33203125" style="0" customWidth="1"/>
    <col min="2" max="2" width="22.83203125" style="0" customWidth="1"/>
    <col min="3" max="4" width="14.83203125" style="0" customWidth="1"/>
    <col min="5" max="5" width="13.16015625" style="0" bestFit="1" customWidth="1"/>
    <col min="6" max="6" width="15.16015625" style="0" customWidth="1"/>
  </cols>
  <sheetData>
    <row r="3" spans="1:5" ht="55.5" customHeight="1">
      <c r="A3" s="1151" t="s">
        <v>732</v>
      </c>
      <c r="B3" s="1245"/>
      <c r="C3" s="963" t="s">
        <v>423</v>
      </c>
      <c r="D3" s="64" t="s">
        <v>422</v>
      </c>
      <c r="E3" s="23" t="s">
        <v>424</v>
      </c>
    </row>
    <row r="4" spans="1:5" ht="9.75" customHeight="1">
      <c r="A4" s="127" t="s">
        <v>376</v>
      </c>
      <c r="B4" s="128" t="s">
        <v>371</v>
      </c>
      <c r="C4" s="217"/>
      <c r="D4" s="218"/>
      <c r="E4" s="65">
        <f>SUM(C4:D4)</f>
        <v>0</v>
      </c>
    </row>
    <row r="5" spans="1:5" ht="9.75" customHeight="1">
      <c r="A5" s="13" t="s">
        <v>377</v>
      </c>
      <c r="B5" s="27" t="s">
        <v>68</v>
      </c>
      <c r="C5" s="217"/>
      <c r="D5" s="218"/>
      <c r="E5" s="65">
        <f aca="true" t="shared" si="0" ref="E5:E21">SUM(C5:D5)</f>
        <v>0</v>
      </c>
    </row>
    <row r="6" spans="1:5" ht="9.75" customHeight="1">
      <c r="A6" s="13" t="s">
        <v>378</v>
      </c>
      <c r="B6" s="27" t="s">
        <v>372</v>
      </c>
      <c r="C6" s="217"/>
      <c r="D6" s="218"/>
      <c r="E6" s="65">
        <f t="shared" si="0"/>
        <v>0</v>
      </c>
    </row>
    <row r="7" spans="1:5" ht="9.75" customHeight="1">
      <c r="A7" s="13" t="s">
        <v>379</v>
      </c>
      <c r="B7" s="27" t="s">
        <v>42</v>
      </c>
      <c r="C7" s="217"/>
      <c r="D7" s="218"/>
      <c r="E7" s="65">
        <f t="shared" si="0"/>
        <v>0</v>
      </c>
    </row>
    <row r="8" spans="1:5" ht="9.75" customHeight="1">
      <c r="A8" s="13" t="s">
        <v>380</v>
      </c>
      <c r="B8" s="27" t="s">
        <v>8</v>
      </c>
      <c r="C8" s="217"/>
      <c r="D8" s="218"/>
      <c r="E8" s="65">
        <f t="shared" si="0"/>
        <v>0</v>
      </c>
    </row>
    <row r="9" spans="1:5" ht="9.75" customHeight="1">
      <c r="A9" s="13" t="s">
        <v>381</v>
      </c>
      <c r="B9" s="27" t="s">
        <v>22</v>
      </c>
      <c r="C9" s="217"/>
      <c r="D9" s="218"/>
      <c r="E9" s="65">
        <f t="shared" si="0"/>
        <v>0</v>
      </c>
    </row>
    <row r="10" spans="1:5" ht="9.75" customHeight="1">
      <c r="A10" s="13" t="s">
        <v>382</v>
      </c>
      <c r="B10" s="27" t="s">
        <v>21</v>
      </c>
      <c r="C10" s="217"/>
      <c r="D10" s="218"/>
      <c r="E10" s="65">
        <f t="shared" si="0"/>
        <v>0</v>
      </c>
    </row>
    <row r="11" spans="1:5" ht="9.75" customHeight="1">
      <c r="A11" s="13" t="s">
        <v>383</v>
      </c>
      <c r="B11" s="27" t="s">
        <v>23</v>
      </c>
      <c r="C11" s="217"/>
      <c r="D11" s="218"/>
      <c r="E11" s="65">
        <f t="shared" si="0"/>
        <v>0</v>
      </c>
    </row>
    <row r="12" spans="1:5" ht="9.75" customHeight="1">
      <c r="A12" s="13" t="s">
        <v>384</v>
      </c>
      <c r="B12" s="27" t="s">
        <v>24</v>
      </c>
      <c r="C12" s="217"/>
      <c r="D12" s="218"/>
      <c r="E12" s="65">
        <f t="shared" si="0"/>
        <v>0</v>
      </c>
    </row>
    <row r="13" spans="1:5" ht="9.75" customHeight="1">
      <c r="A13" s="13" t="s">
        <v>385</v>
      </c>
      <c r="B13" s="27" t="s">
        <v>31</v>
      </c>
      <c r="C13" s="217"/>
      <c r="D13" s="218"/>
      <c r="E13" s="65">
        <f t="shared" si="0"/>
        <v>0</v>
      </c>
    </row>
    <row r="14" spans="1:5" ht="9.75" customHeight="1">
      <c r="A14" s="13" t="s">
        <v>386</v>
      </c>
      <c r="B14" s="27" t="s">
        <v>37</v>
      </c>
      <c r="C14" s="217"/>
      <c r="D14" s="218"/>
      <c r="E14" s="65">
        <f t="shared" si="0"/>
        <v>0</v>
      </c>
    </row>
    <row r="15" spans="1:5" ht="9.75" customHeight="1">
      <c r="A15" s="13" t="s">
        <v>387</v>
      </c>
      <c r="B15" s="27" t="s">
        <v>72</v>
      </c>
      <c r="C15" s="217"/>
      <c r="D15" s="218"/>
      <c r="E15" s="65">
        <f t="shared" si="0"/>
        <v>0</v>
      </c>
    </row>
    <row r="16" spans="1:5" ht="9.75" customHeight="1">
      <c r="A16" s="13" t="s">
        <v>388</v>
      </c>
      <c r="B16" s="27" t="s">
        <v>81</v>
      </c>
      <c r="C16" s="217"/>
      <c r="D16" s="218"/>
      <c r="E16" s="65">
        <f t="shared" si="0"/>
        <v>0</v>
      </c>
    </row>
    <row r="17" spans="1:5" ht="9.75" customHeight="1">
      <c r="A17" s="13" t="s">
        <v>389</v>
      </c>
      <c r="B17" s="27" t="s">
        <v>87</v>
      </c>
      <c r="C17" s="217"/>
      <c r="D17" s="218"/>
      <c r="E17" s="65">
        <f t="shared" si="0"/>
        <v>0</v>
      </c>
    </row>
    <row r="18" spans="1:5" ht="9.75" customHeight="1">
      <c r="A18" s="13" t="s">
        <v>390</v>
      </c>
      <c r="B18" s="27" t="s">
        <v>45</v>
      </c>
      <c r="C18" s="217"/>
      <c r="D18" s="218"/>
      <c r="E18" s="65">
        <f t="shared" si="0"/>
        <v>0</v>
      </c>
    </row>
    <row r="19" spans="1:5" ht="9.75" customHeight="1">
      <c r="A19" s="13" t="s">
        <v>391</v>
      </c>
      <c r="B19" s="27" t="s">
        <v>94</v>
      </c>
      <c r="C19" s="217"/>
      <c r="D19" s="218"/>
      <c r="E19" s="65">
        <f t="shared" si="0"/>
        <v>0</v>
      </c>
    </row>
    <row r="20" spans="1:5" ht="9.75" customHeight="1">
      <c r="A20" s="13" t="s">
        <v>392</v>
      </c>
      <c r="B20" s="27" t="s">
        <v>58</v>
      </c>
      <c r="C20" s="217"/>
      <c r="D20" s="218"/>
      <c r="E20" s="65">
        <f t="shared" si="0"/>
        <v>0</v>
      </c>
    </row>
    <row r="21" spans="1:7" ht="9.75" customHeight="1">
      <c r="A21" s="33" t="s">
        <v>393</v>
      </c>
      <c r="B21" s="41" t="s">
        <v>373</v>
      </c>
      <c r="C21" s="827"/>
      <c r="D21" s="828">
        <v>2230933</v>
      </c>
      <c r="E21" s="67">
        <f t="shared" si="0"/>
        <v>2230933</v>
      </c>
      <c r="F21" s="6"/>
      <c r="G21" s="1"/>
    </row>
    <row r="22" spans="1:7" ht="9.75" customHeight="1">
      <c r="A22" s="49" t="s">
        <v>421</v>
      </c>
      <c r="B22" s="68"/>
      <c r="C22" s="24">
        <f>SUM(C4:C21)</f>
        <v>0</v>
      </c>
      <c r="D22" s="43">
        <f>SUM(D4:D21)</f>
        <v>2230933</v>
      </c>
      <c r="E22" s="69">
        <f>D22+C22</f>
        <v>2230933</v>
      </c>
      <c r="F22" s="6"/>
      <c r="G22" s="1"/>
    </row>
    <row r="23" spans="1:7" ht="3.75" customHeight="1">
      <c r="A23" s="52"/>
      <c r="B23" s="53"/>
      <c r="C23" s="70"/>
      <c r="D23" s="70"/>
      <c r="E23" s="71"/>
      <c r="F23" s="6"/>
      <c r="G23" s="1"/>
    </row>
    <row r="24" spans="1:7" ht="9.75" customHeight="1">
      <c r="A24" s="13" t="s">
        <v>401</v>
      </c>
      <c r="B24" s="14" t="s">
        <v>402</v>
      </c>
      <c r="C24" s="567">
        <v>0</v>
      </c>
      <c r="D24" s="569">
        <v>0</v>
      </c>
      <c r="E24" s="67">
        <f>SUM(C24:D24)</f>
        <v>0</v>
      </c>
      <c r="F24" s="6"/>
      <c r="G24" s="1"/>
    </row>
    <row r="25" spans="1:7" ht="9.75" customHeight="1">
      <c r="A25" s="13" t="s">
        <v>403</v>
      </c>
      <c r="B25" s="14" t="s">
        <v>419</v>
      </c>
      <c r="C25" s="567">
        <f>C37-C22-C24-C33-C36</f>
        <v>176481398</v>
      </c>
      <c r="D25" s="569">
        <f>D37-D22-D24-D33-D36</f>
        <v>112310560</v>
      </c>
      <c r="E25" s="67">
        <f aca="true" t="shared" si="1" ref="E25:E36">SUM(C25:D25)</f>
        <v>288791958</v>
      </c>
      <c r="F25" s="6"/>
      <c r="G25" s="1"/>
    </row>
    <row r="26" spans="1:7" ht="9.75" customHeight="1">
      <c r="A26" s="54" t="s">
        <v>447</v>
      </c>
      <c r="B26" s="330" t="s">
        <v>406</v>
      </c>
      <c r="C26" s="1112">
        <v>100124672</v>
      </c>
      <c r="D26" s="1113">
        <v>75826923</v>
      </c>
      <c r="E26" s="1103">
        <f t="shared" si="1"/>
        <v>175951595</v>
      </c>
      <c r="F26" s="6"/>
      <c r="G26" s="1"/>
    </row>
    <row r="27" spans="1:7" s="6" customFormat="1" ht="9.75" customHeight="1">
      <c r="A27" s="55"/>
      <c r="B27" s="331" t="s">
        <v>407</v>
      </c>
      <c r="C27" s="827">
        <v>0</v>
      </c>
      <c r="D27" s="828">
        <v>2230933</v>
      </c>
      <c r="E27" s="1101">
        <f t="shared" si="1"/>
        <v>2230933</v>
      </c>
      <c r="G27" s="1"/>
    </row>
    <row r="28" spans="1:7" s="6" customFormat="1" ht="9.75" customHeight="1">
      <c r="A28" s="55"/>
      <c r="B28" s="331" t="s">
        <v>408</v>
      </c>
      <c r="C28" s="827">
        <v>0</v>
      </c>
      <c r="D28" s="828">
        <v>6320976</v>
      </c>
      <c r="E28" s="1101">
        <f t="shared" si="1"/>
        <v>6320976</v>
      </c>
      <c r="G28" s="1"/>
    </row>
    <row r="29" spans="1:7" s="6" customFormat="1" ht="9.75" customHeight="1">
      <c r="A29" s="55"/>
      <c r="B29" s="331" t="s">
        <v>409</v>
      </c>
      <c r="C29" s="827">
        <v>0</v>
      </c>
      <c r="D29" s="828">
        <v>5329450</v>
      </c>
      <c r="E29" s="1101">
        <f t="shared" si="1"/>
        <v>5329450</v>
      </c>
      <c r="G29" s="1"/>
    </row>
    <row r="30" spans="1:9" s="6" customFormat="1" ht="9.75" customHeight="1">
      <c r="A30" s="55"/>
      <c r="B30" s="331" t="s">
        <v>411</v>
      </c>
      <c r="C30" s="827">
        <v>2078478</v>
      </c>
      <c r="D30" s="828">
        <v>6275907</v>
      </c>
      <c r="E30" s="1101">
        <f t="shared" si="1"/>
        <v>8354385</v>
      </c>
      <c r="G30" s="1"/>
      <c r="I30"/>
    </row>
    <row r="31" spans="1:7" s="6" customFormat="1" ht="9.75" customHeight="1">
      <c r="A31" s="55"/>
      <c r="B31" s="331" t="s">
        <v>412</v>
      </c>
      <c r="C31" s="827">
        <v>57978603</v>
      </c>
      <c r="D31" s="828">
        <v>11560288</v>
      </c>
      <c r="E31" s="1101">
        <f t="shared" si="1"/>
        <v>69538891</v>
      </c>
      <c r="G31" s="1"/>
    </row>
    <row r="32" spans="1:7" s="6" customFormat="1" ht="9.75" customHeight="1">
      <c r="A32" s="57"/>
      <c r="B32" s="332" t="s">
        <v>413</v>
      </c>
      <c r="C32" s="827">
        <v>16299645</v>
      </c>
      <c r="D32" s="828">
        <v>4766083</v>
      </c>
      <c r="E32" s="1102">
        <f t="shared" si="1"/>
        <v>21065728</v>
      </c>
      <c r="G32" s="1"/>
    </row>
    <row r="33" spans="1:7" ht="9.75" customHeight="1">
      <c r="A33" s="13" t="s">
        <v>414</v>
      </c>
      <c r="B33" s="14" t="s">
        <v>415</v>
      </c>
      <c r="C33" s="566">
        <v>87843053</v>
      </c>
      <c r="D33" s="570">
        <v>0</v>
      </c>
      <c r="E33" s="67">
        <f t="shared" si="1"/>
        <v>87843053</v>
      </c>
      <c r="F33" s="6"/>
      <c r="G33" s="1"/>
    </row>
    <row r="34" spans="1:7" ht="9.75" customHeight="1">
      <c r="A34" s="13" t="s">
        <v>416</v>
      </c>
      <c r="B34" s="14" t="s">
        <v>417</v>
      </c>
      <c r="C34" s="567">
        <v>0</v>
      </c>
      <c r="D34" s="571">
        <v>0</v>
      </c>
      <c r="E34" s="67">
        <f t="shared" si="1"/>
        <v>0</v>
      </c>
      <c r="F34" s="6"/>
      <c r="G34" s="1"/>
    </row>
    <row r="35" spans="1:7" ht="9.75" customHeight="1">
      <c r="A35" s="13" t="s">
        <v>570</v>
      </c>
      <c r="B35" s="14" t="s">
        <v>571</v>
      </c>
      <c r="C35" s="567">
        <v>0</v>
      </c>
      <c r="D35" s="571">
        <v>0</v>
      </c>
      <c r="E35" s="67">
        <f t="shared" si="1"/>
        <v>0</v>
      </c>
      <c r="F35" s="6"/>
      <c r="G35" s="1"/>
    </row>
    <row r="36" spans="1:7" ht="9.75" customHeight="1">
      <c r="A36" s="13" t="s">
        <v>649</v>
      </c>
      <c r="B36" s="14" t="s">
        <v>410</v>
      </c>
      <c r="C36" s="567">
        <v>17940549</v>
      </c>
      <c r="D36" s="571">
        <v>13002507</v>
      </c>
      <c r="E36" s="67">
        <f t="shared" si="1"/>
        <v>30943056</v>
      </c>
      <c r="F36" s="6"/>
      <c r="G36" s="1"/>
    </row>
    <row r="37" spans="1:6" ht="9.75" customHeight="1">
      <c r="A37" s="15" t="s">
        <v>375</v>
      </c>
      <c r="B37" s="14"/>
      <c r="C37" s="568">
        <f>Bilance!C69</f>
        <v>282265000</v>
      </c>
      <c r="D37" s="572">
        <f>Bilance!C70</f>
        <v>127544000</v>
      </c>
      <c r="E37" s="69">
        <f>D37+C37</f>
        <v>409809000</v>
      </c>
      <c r="F37" s="306"/>
    </row>
    <row r="38" spans="3:5" ht="9.75" customHeight="1">
      <c r="C38" s="264">
        <f>SUM(C26:C36,C22)</f>
        <v>282265000</v>
      </c>
      <c r="D38" s="264">
        <f>SUM(D26:D36,D22)</f>
        <v>127544000</v>
      </c>
      <c r="E38" s="264">
        <f>SUM(E26:E36,E22)</f>
        <v>409809000</v>
      </c>
    </row>
  </sheetData>
  <sheetProtection/>
  <mergeCells count="1">
    <mergeCell ref="A3:B3"/>
  </mergeCells>
  <printOptions/>
  <pageMargins left="0.7086614173228347" right="0.7086614173228347" top="1.141732283464567" bottom="0.7480314960629921" header="0.5118110236220472" footer="0.31496062992125984"/>
  <pageSetup horizontalDpi="600" verticalDpi="600" orientation="landscape" paperSize="9" r:id="rId1"/>
  <headerFooter alignWithMargins="0">
    <oddHeader>&amp;C&amp;14&amp;A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O40"/>
  <sheetViews>
    <sheetView showZeros="0" workbookViewId="0" topLeftCell="A1">
      <selection activeCell="C4" sqref="C4"/>
    </sheetView>
  </sheetViews>
  <sheetFormatPr defaultColWidth="9.33203125" defaultRowHeight="9.75" customHeight="1"/>
  <cols>
    <col min="1" max="1" width="5.5" style="0" customWidth="1"/>
    <col min="2" max="2" width="18.5" style="0" customWidth="1"/>
    <col min="3" max="3" width="15.33203125" style="0" customWidth="1"/>
    <col min="4" max="4" width="16.5" style="0" bestFit="1" customWidth="1"/>
    <col min="5" max="5" width="17.16015625" style="0" bestFit="1" customWidth="1"/>
    <col min="6" max="7" width="17.16015625" style="0" customWidth="1"/>
    <col min="8" max="8" width="15.5" style="0" customWidth="1"/>
    <col min="9" max="9" width="12.83203125" style="0" customWidth="1"/>
    <col min="10" max="11" width="13.66015625" style="0" customWidth="1"/>
    <col min="12" max="12" width="16" style="0" customWidth="1"/>
    <col min="13" max="13" width="10" style="0" customWidth="1"/>
    <col min="14" max="14" width="6.66015625" style="0" bestFit="1" customWidth="1"/>
    <col min="15" max="15" width="11.33203125" style="0" customWidth="1"/>
  </cols>
  <sheetData>
    <row r="3" spans="1:13" ht="74.25" customHeight="1">
      <c r="A3" s="1151" t="s">
        <v>732</v>
      </c>
      <c r="B3" s="1245"/>
      <c r="C3" s="862" t="s">
        <v>1270</v>
      </c>
      <c r="D3" s="72" t="s">
        <v>1269</v>
      </c>
      <c r="E3" s="396" t="s">
        <v>595</v>
      </c>
      <c r="F3" s="396" t="s">
        <v>594</v>
      </c>
      <c r="G3" s="396" t="s">
        <v>597</v>
      </c>
      <c r="H3" s="396" t="s">
        <v>596</v>
      </c>
      <c r="I3" s="396" t="s">
        <v>603</v>
      </c>
      <c r="J3" s="1246" t="s">
        <v>604</v>
      </c>
      <c r="K3" s="1247"/>
      <c r="L3" s="23" t="s">
        <v>1272</v>
      </c>
      <c r="M3" s="23" t="s">
        <v>605</v>
      </c>
    </row>
    <row r="4" spans="1:15" ht="9.75" customHeight="1">
      <c r="A4" s="127" t="s">
        <v>376</v>
      </c>
      <c r="B4" s="128" t="s">
        <v>371</v>
      </c>
      <c r="C4" s="35">
        <f>'1 Příspěvek na vzdělávání'!E4+'2 Podpora vědy'!E5+'3 SVV'!C4+'4.4. Nemovitosti'!L4+'4.4. Nemovitosti'!M4+'4.5 Rozvoj'!E4+'4.6 RUK'!E4</f>
        <v>37286595.61043224</v>
      </c>
      <c r="D4" s="35">
        <v>36682174</v>
      </c>
      <c r="E4" s="397">
        <f aca="true" t="shared" si="0" ref="E4:E21">C4-D4</f>
        <v>604421.6104322374</v>
      </c>
      <c r="F4" s="397">
        <f>IF(E4&gt;0,E4,0)</f>
        <v>604421.6104322374</v>
      </c>
      <c r="G4" s="398">
        <f>F4/F$22</f>
        <v>0.0035595417653610096</v>
      </c>
      <c r="H4" s="399">
        <f aca="true" t="shared" si="1" ref="H4:H22">C4/D4</f>
        <v>1.0164772570576717</v>
      </c>
      <c r="I4" s="400">
        <f aca="true" t="shared" si="2" ref="I4:I21">IF(H4&lt;$B$39,D4*$B$39-C4,0)</f>
        <v>0</v>
      </c>
      <c r="J4" s="28">
        <f>IF(F$22&lt;I$22,F$22/I$22*I4,I4)</f>
        <v>0</v>
      </c>
      <c r="K4" s="28">
        <f>-G4*J$22</f>
        <v>-4882.977250676779</v>
      </c>
      <c r="L4" s="402">
        <f aca="true" t="shared" si="3" ref="L4:L21">C4+J4+K4</f>
        <v>37281712.63318156</v>
      </c>
      <c r="M4" s="399">
        <f>L4/D4</f>
        <v>1.0163441412491407</v>
      </c>
      <c r="N4" s="863" t="s">
        <v>371</v>
      </c>
      <c r="O4" s="11"/>
    </row>
    <row r="5" spans="1:15" ht="9.75" customHeight="1">
      <c r="A5" s="13" t="s">
        <v>377</v>
      </c>
      <c r="B5" s="27" t="s">
        <v>68</v>
      </c>
      <c r="C5" s="35">
        <f>'1 Příspěvek na vzdělávání'!E5+'2 Podpora vědy'!E6+'3 SVV'!C5+'4.4. Nemovitosti'!L5+'4.4. Nemovitosti'!M5+'4.5 Rozvoj'!E5+'4.6 RUK'!E5</f>
        <v>30299676.762056556</v>
      </c>
      <c r="D5" s="35">
        <v>32991121</v>
      </c>
      <c r="E5" s="397">
        <f t="shared" si="0"/>
        <v>-2691444.2379434444</v>
      </c>
      <c r="F5" s="397">
        <f aca="true" t="shared" si="4" ref="F5:F21">IF(E5&gt;0,E5,0)</f>
        <v>0</v>
      </c>
      <c r="G5" s="398">
        <f aca="true" t="shared" si="5" ref="G5:G21">F5/F$22</f>
        <v>0</v>
      </c>
      <c r="H5" s="675">
        <f t="shared" si="1"/>
        <v>0.9184191335013004</v>
      </c>
      <c r="I5" s="676">
        <f t="shared" si="2"/>
        <v>1371799.3979434446</v>
      </c>
      <c r="J5" s="28">
        <f aca="true" t="shared" si="6" ref="J5:J21">IF(F$22&lt;I$22,F$22/I$22*I5,I5)</f>
        <v>1371799.3979434446</v>
      </c>
      <c r="K5" s="28">
        <f aca="true" t="shared" si="7" ref="K5:K21">-G5*J$22</f>
        <v>0</v>
      </c>
      <c r="L5" s="402">
        <f t="shared" si="3"/>
        <v>31671476.16</v>
      </c>
      <c r="M5" s="675">
        <f aca="true" t="shared" si="8" ref="M5:M21">L5/D5</f>
        <v>0.96</v>
      </c>
      <c r="N5" s="863" t="s">
        <v>68</v>
      </c>
      <c r="O5" s="11"/>
    </row>
    <row r="6" spans="1:15" ht="9.75" customHeight="1">
      <c r="A6" s="13" t="s">
        <v>378</v>
      </c>
      <c r="B6" s="27" t="s">
        <v>372</v>
      </c>
      <c r="C6" s="35">
        <f>'1 Příspěvek na vzdělávání'!E6+'2 Podpora vědy'!E7+'3 SVV'!C6+'4.4. Nemovitosti'!L6+'4.4. Nemovitosti'!M6+'4.5 Rozvoj'!E6+'4.6 RUK'!E6</f>
        <v>40897978.28367003</v>
      </c>
      <c r="D6" s="35">
        <v>40282678</v>
      </c>
      <c r="E6" s="397">
        <f t="shared" si="0"/>
        <v>615300.2836700305</v>
      </c>
      <c r="F6" s="397">
        <f t="shared" si="4"/>
        <v>615300.2836700305</v>
      </c>
      <c r="G6" s="398">
        <f t="shared" si="5"/>
        <v>0.003623608124129929</v>
      </c>
      <c r="H6" s="675">
        <f t="shared" si="1"/>
        <v>1.0152745625221349</v>
      </c>
      <c r="I6" s="676">
        <f t="shared" si="2"/>
        <v>0</v>
      </c>
      <c r="J6" s="28">
        <f t="shared" si="6"/>
        <v>0</v>
      </c>
      <c r="K6" s="28">
        <f t="shared" si="7"/>
        <v>-4970.863443064411</v>
      </c>
      <c r="L6" s="402">
        <f t="shared" si="3"/>
        <v>40893007.42022697</v>
      </c>
      <c r="M6" s="675">
        <f t="shared" si="8"/>
        <v>1.0151511629943513</v>
      </c>
      <c r="N6" s="863" t="s">
        <v>372</v>
      </c>
      <c r="O6" s="11"/>
    </row>
    <row r="7" spans="1:15" ht="9.75" customHeight="1">
      <c r="A7" s="13" t="s">
        <v>379</v>
      </c>
      <c r="B7" s="27" t="s">
        <v>42</v>
      </c>
      <c r="C7" s="35">
        <f>'1 Příspěvek na vzdělávání'!E7+'2 Podpora vědy'!E8+'3 SVV'!C7+'4.4. Nemovitosti'!L7+'4.4. Nemovitosti'!M7+'4.5 Rozvoj'!E7+'4.6 RUK'!E7</f>
        <v>190985726.31003144</v>
      </c>
      <c r="D7" s="35">
        <v>188770845</v>
      </c>
      <c r="E7" s="397">
        <f t="shared" si="0"/>
        <v>2214881.310031444</v>
      </c>
      <c r="F7" s="397">
        <f t="shared" si="4"/>
        <v>2214881.310031444</v>
      </c>
      <c r="G7" s="398">
        <f t="shared" si="5"/>
        <v>0.013043813113724387</v>
      </c>
      <c r="H7" s="675">
        <f t="shared" si="1"/>
        <v>1.011733174739094</v>
      </c>
      <c r="I7" s="676">
        <f t="shared" si="2"/>
        <v>0</v>
      </c>
      <c r="J7" s="28">
        <f t="shared" si="6"/>
        <v>0</v>
      </c>
      <c r="K7" s="28">
        <f t="shared" si="7"/>
        <v>-17893.49497629392</v>
      </c>
      <c r="L7" s="402">
        <f t="shared" si="3"/>
        <v>190967832.81505516</v>
      </c>
      <c r="M7" s="675">
        <f t="shared" si="8"/>
        <v>1.0116383852339865</v>
      </c>
      <c r="N7" s="863" t="s">
        <v>42</v>
      </c>
      <c r="O7" s="11"/>
    </row>
    <row r="8" spans="1:15" ht="9.75" customHeight="1">
      <c r="A8" s="13" t="s">
        <v>380</v>
      </c>
      <c r="B8" s="27" t="s">
        <v>8</v>
      </c>
      <c r="C8" s="35">
        <f>'1 Příspěvek na vzdělávání'!E8+'2 Podpora vědy'!E9+'3 SVV'!C8+'4.4. Nemovitosti'!L8+'4.4. Nemovitosti'!M8+'4.5 Rozvoj'!E8+'4.6 RUK'!E8</f>
        <v>602326041.8015203</v>
      </c>
      <c r="D8" s="35">
        <v>583520761</v>
      </c>
      <c r="E8" s="397">
        <f t="shared" si="0"/>
        <v>18805280.801520348</v>
      </c>
      <c r="F8" s="397">
        <f t="shared" si="4"/>
        <v>18805280.801520348</v>
      </c>
      <c r="G8" s="398">
        <f t="shared" si="5"/>
        <v>0.11074750020020632</v>
      </c>
      <c r="H8" s="675">
        <f t="shared" si="1"/>
        <v>1.0322272694621748</v>
      </c>
      <c r="I8" s="676">
        <f t="shared" si="2"/>
        <v>0</v>
      </c>
      <c r="J8" s="28">
        <f t="shared" si="6"/>
        <v>0</v>
      </c>
      <c r="K8" s="28">
        <f t="shared" si="7"/>
        <v>-151923.35409838453</v>
      </c>
      <c r="L8" s="402">
        <f t="shared" si="3"/>
        <v>602174118.4474219</v>
      </c>
      <c r="M8" s="675">
        <f t="shared" si="8"/>
        <v>1.0319669130802733</v>
      </c>
      <c r="N8" s="863" t="s">
        <v>8</v>
      </c>
      <c r="O8" s="11"/>
    </row>
    <row r="9" spans="1:15" ht="9.75" customHeight="1">
      <c r="A9" s="13" t="s">
        <v>381</v>
      </c>
      <c r="B9" s="27" t="s">
        <v>22</v>
      </c>
      <c r="C9" s="35">
        <f>'1 Příspěvek na vzdělávání'!E9+'2 Podpora vědy'!E10+'3 SVV'!C9+'4.4. Nemovitosti'!L9+'4.4. Nemovitosti'!M9+'4.5 Rozvoj'!E9+'4.6 RUK'!E9</f>
        <v>227796546.54647034</v>
      </c>
      <c r="D9" s="35">
        <v>218388222</v>
      </c>
      <c r="E9" s="397">
        <f t="shared" si="0"/>
        <v>9408324.546470344</v>
      </c>
      <c r="F9" s="397">
        <f t="shared" si="4"/>
        <v>9408324.546470344</v>
      </c>
      <c r="G9" s="398">
        <f t="shared" si="5"/>
        <v>0.05540722500190437</v>
      </c>
      <c r="H9" s="675">
        <f t="shared" si="1"/>
        <v>1.0430807323779134</v>
      </c>
      <c r="I9" s="676">
        <f t="shared" si="2"/>
        <v>0</v>
      </c>
      <c r="J9" s="28">
        <f t="shared" si="6"/>
        <v>0</v>
      </c>
      <c r="K9" s="28">
        <f t="shared" si="7"/>
        <v>-76007.59789932938</v>
      </c>
      <c r="L9" s="402">
        <f t="shared" si="3"/>
        <v>227720538.94857103</v>
      </c>
      <c r="M9" s="675">
        <f t="shared" si="8"/>
        <v>1.0427326934717707</v>
      </c>
      <c r="N9" s="863" t="s">
        <v>22</v>
      </c>
      <c r="O9" s="11"/>
    </row>
    <row r="10" spans="1:15" ht="9.75" customHeight="1">
      <c r="A10" s="13" t="s">
        <v>382</v>
      </c>
      <c r="B10" s="27" t="s">
        <v>21</v>
      </c>
      <c r="C10" s="35">
        <f>'1 Příspěvek na vzdělávání'!E10+'2 Podpora vědy'!E11+'3 SVV'!C10+'4.4. Nemovitosti'!L10+'4.4. Nemovitosti'!M10+'4.5 Rozvoj'!E10+'4.6 RUK'!E10</f>
        <v>250417526.47396618</v>
      </c>
      <c r="D10" s="35">
        <v>242046142</v>
      </c>
      <c r="E10" s="397">
        <f t="shared" si="0"/>
        <v>8371384.473966181</v>
      </c>
      <c r="F10" s="397">
        <f t="shared" si="4"/>
        <v>8371384.473966181</v>
      </c>
      <c r="G10" s="398">
        <f t="shared" si="5"/>
        <v>0.0493005083780307</v>
      </c>
      <c r="H10" s="675">
        <f t="shared" si="1"/>
        <v>1.0345859033521227</v>
      </c>
      <c r="I10" s="676">
        <f t="shared" si="2"/>
        <v>0</v>
      </c>
      <c r="J10" s="28">
        <f t="shared" si="6"/>
        <v>0</v>
      </c>
      <c r="K10" s="28">
        <f t="shared" si="7"/>
        <v>-67630.40771128825</v>
      </c>
      <c r="L10" s="402">
        <f t="shared" si="3"/>
        <v>250349896.06625488</v>
      </c>
      <c r="M10" s="675">
        <f t="shared" si="8"/>
        <v>1.0343064921326235</v>
      </c>
      <c r="N10" s="863" t="s">
        <v>21</v>
      </c>
      <c r="O10" s="11"/>
    </row>
    <row r="11" spans="1:15" ht="9.75" customHeight="1">
      <c r="A11" s="13" t="s">
        <v>383</v>
      </c>
      <c r="B11" s="27" t="s">
        <v>23</v>
      </c>
      <c r="C11" s="35">
        <f>'1 Příspěvek na vzdělávání'!E11+'2 Podpora vědy'!E12+'3 SVV'!C11+'4.4. Nemovitosti'!L11+'4.4. Nemovitosti'!M11+'4.5 Rozvoj'!E11+'4.6 RUK'!E11</f>
        <v>234527678.37269953</v>
      </c>
      <c r="D11" s="35">
        <v>216858499</v>
      </c>
      <c r="E11" s="397">
        <f t="shared" si="0"/>
        <v>17669179.37269953</v>
      </c>
      <c r="F11" s="397">
        <f t="shared" si="4"/>
        <v>17669179.37269953</v>
      </c>
      <c r="G11" s="398">
        <f t="shared" si="5"/>
        <v>0.10405680546696862</v>
      </c>
      <c r="H11" s="675">
        <f t="shared" si="1"/>
        <v>1.0814779197226645</v>
      </c>
      <c r="I11" s="676">
        <f t="shared" si="2"/>
        <v>0</v>
      </c>
      <c r="J11" s="28">
        <f t="shared" si="6"/>
        <v>0</v>
      </c>
      <c r="K11" s="28">
        <f t="shared" si="7"/>
        <v>-142745.06309150567</v>
      </c>
      <c r="L11" s="402">
        <f t="shared" si="3"/>
        <v>234384933.309608</v>
      </c>
      <c r="M11" s="675">
        <f t="shared" si="8"/>
        <v>1.0808196791475901</v>
      </c>
      <c r="N11" s="863" t="s">
        <v>23</v>
      </c>
      <c r="O11" s="11"/>
    </row>
    <row r="12" spans="1:15" ht="9.75" customHeight="1">
      <c r="A12" s="13" t="s">
        <v>384</v>
      </c>
      <c r="B12" s="27" t="s">
        <v>24</v>
      </c>
      <c r="C12" s="35">
        <f>'1 Příspěvek na vzdělávání'!E12+'2 Podpora vědy'!E13+'3 SVV'!C12+'4.4. Nemovitosti'!L12+'4.4. Nemovitosti'!M12+'4.5 Rozvoj'!E12+'4.6 RUK'!E12</f>
        <v>203437353.91957998</v>
      </c>
      <c r="D12" s="35">
        <v>196700779</v>
      </c>
      <c r="E12" s="397">
        <f t="shared" si="0"/>
        <v>6736574.919579983</v>
      </c>
      <c r="F12" s="397">
        <f t="shared" si="4"/>
        <v>6736574.919579983</v>
      </c>
      <c r="G12" s="398">
        <f t="shared" si="5"/>
        <v>0.039672836589314454</v>
      </c>
      <c r="H12" s="675">
        <f t="shared" si="1"/>
        <v>1.034247830404271</v>
      </c>
      <c r="I12" s="676">
        <f t="shared" si="2"/>
        <v>0</v>
      </c>
      <c r="J12" s="28">
        <f t="shared" si="6"/>
        <v>0</v>
      </c>
      <c r="K12" s="28">
        <f t="shared" si="7"/>
        <v>-54423.17334793023</v>
      </c>
      <c r="L12" s="402">
        <f t="shared" si="3"/>
        <v>203382930.74623206</v>
      </c>
      <c r="M12" s="675">
        <f t="shared" si="8"/>
        <v>1.0339711503950477</v>
      </c>
      <c r="N12" s="863" t="s">
        <v>24</v>
      </c>
      <c r="O12" s="11"/>
    </row>
    <row r="13" spans="1:15" ht="9.75" customHeight="1">
      <c r="A13" s="13" t="s">
        <v>385</v>
      </c>
      <c r="B13" s="27" t="s">
        <v>31</v>
      </c>
      <c r="C13" s="35">
        <f>'1 Příspěvek na vzdělávání'!E13+'2 Podpora vědy'!E14+'3 SVV'!C13+'4.4. Nemovitosti'!L13+'4.4. Nemovitosti'!M13+'4.5 Rozvoj'!E13+'4.6 RUK'!E13</f>
        <v>202075271.73752654</v>
      </c>
      <c r="D13" s="35">
        <v>194085218</v>
      </c>
      <c r="E13" s="397">
        <f t="shared" si="0"/>
        <v>7990053.737526536</v>
      </c>
      <c r="F13" s="397">
        <f t="shared" si="4"/>
        <v>7990053.737526536</v>
      </c>
      <c r="G13" s="398">
        <f t="shared" si="5"/>
        <v>0.047054786750370656</v>
      </c>
      <c r="H13" s="675">
        <f t="shared" si="1"/>
        <v>1.041167760326428</v>
      </c>
      <c r="I13" s="676">
        <f t="shared" si="2"/>
        <v>0</v>
      </c>
      <c r="J13" s="28">
        <f t="shared" si="6"/>
        <v>0</v>
      </c>
      <c r="K13" s="28">
        <f t="shared" si="7"/>
        <v>-64549.72813451564</v>
      </c>
      <c r="L13" s="402">
        <f t="shared" si="3"/>
        <v>202010722.00939202</v>
      </c>
      <c r="M13" s="675">
        <f t="shared" si="8"/>
        <v>1.0408351758627596</v>
      </c>
      <c r="N13" s="863" t="s">
        <v>31</v>
      </c>
      <c r="O13" s="11"/>
    </row>
    <row r="14" spans="1:15" ht="9.75" customHeight="1">
      <c r="A14" s="13" t="s">
        <v>386</v>
      </c>
      <c r="B14" s="27" t="s">
        <v>37</v>
      </c>
      <c r="C14" s="35">
        <f>'1 Příspěvek na vzdělávání'!E14+'2 Podpora vědy'!E15+'3 SVV'!C14+'4.4. Nemovitosti'!L14+'4.4. Nemovitosti'!M14+'4.5 Rozvoj'!E14+'4.6 RUK'!E14</f>
        <v>422377730.81341743</v>
      </c>
      <c r="D14" s="35">
        <v>411861873</v>
      </c>
      <c r="E14" s="397">
        <f t="shared" si="0"/>
        <v>10515857.813417435</v>
      </c>
      <c r="F14" s="397">
        <f t="shared" si="4"/>
        <v>10515857.813417435</v>
      </c>
      <c r="G14" s="398">
        <f t="shared" si="5"/>
        <v>0.06192967696619739</v>
      </c>
      <c r="H14" s="675">
        <f t="shared" si="1"/>
        <v>1.0255324867456654</v>
      </c>
      <c r="I14" s="676">
        <f t="shared" si="2"/>
        <v>0</v>
      </c>
      <c r="J14" s="28">
        <f t="shared" si="6"/>
        <v>0</v>
      </c>
      <c r="K14" s="28">
        <f t="shared" si="7"/>
        <v>-84955.09357706159</v>
      </c>
      <c r="L14" s="402">
        <f t="shared" si="3"/>
        <v>422292775.71984035</v>
      </c>
      <c r="M14" s="675">
        <f t="shared" si="8"/>
        <v>1.0253262159079248</v>
      </c>
      <c r="N14" s="864" t="s">
        <v>37</v>
      </c>
      <c r="O14" s="11"/>
    </row>
    <row r="15" spans="1:15" ht="9.75" customHeight="1">
      <c r="A15" s="13" t="s">
        <v>387</v>
      </c>
      <c r="B15" s="27" t="s">
        <v>72</v>
      </c>
      <c r="C15" s="35">
        <f>'1 Příspěvek na vzdělávání'!E15+'2 Podpora vědy'!E16+'3 SVV'!C15+'4.4. Nemovitosti'!L15+'4.4. Nemovitosti'!M15+'4.5 Rozvoj'!E15+'4.6 RUK'!E15</f>
        <v>776790081.7484826</v>
      </c>
      <c r="D15" s="35">
        <v>744944750</v>
      </c>
      <c r="E15" s="397">
        <f t="shared" si="0"/>
        <v>31845331.748482585</v>
      </c>
      <c r="F15" s="397">
        <f t="shared" si="4"/>
        <v>31845331.748482585</v>
      </c>
      <c r="G15" s="398">
        <f t="shared" si="5"/>
        <v>0.18754258026849469</v>
      </c>
      <c r="H15" s="675">
        <f t="shared" si="1"/>
        <v>1.042748582023677</v>
      </c>
      <c r="I15" s="676">
        <f t="shared" si="2"/>
        <v>0</v>
      </c>
      <c r="J15" s="28">
        <f t="shared" si="6"/>
        <v>0</v>
      </c>
      <c r="K15" s="28">
        <f t="shared" si="7"/>
        <v>-257270.79870108113</v>
      </c>
      <c r="L15" s="402">
        <f t="shared" si="3"/>
        <v>776532810.9497815</v>
      </c>
      <c r="M15" s="675">
        <f t="shared" si="8"/>
        <v>1.0424032264805967</v>
      </c>
      <c r="N15" s="863" t="s">
        <v>72</v>
      </c>
      <c r="O15" s="11"/>
    </row>
    <row r="16" spans="1:15" ht="9.75" customHeight="1">
      <c r="A16" s="13" t="s">
        <v>388</v>
      </c>
      <c r="B16" s="27" t="s">
        <v>81</v>
      </c>
      <c r="C16" s="35">
        <f>'1 Příspěvek na vzdělávání'!E16+'2 Podpora vědy'!E17+'3 SVV'!C16+'4.4. Nemovitosti'!L16+'4.4. Nemovitosti'!M16+'4.5 Rozvoj'!E16+'4.6 RUK'!E16</f>
        <v>682082800.4623808</v>
      </c>
      <c r="D16" s="35">
        <v>653299805</v>
      </c>
      <c r="E16" s="397">
        <f t="shared" si="0"/>
        <v>28782995.462380767</v>
      </c>
      <c r="F16" s="397">
        <f t="shared" si="4"/>
        <v>28782995.462380767</v>
      </c>
      <c r="G16" s="398">
        <f t="shared" si="5"/>
        <v>0.16950796052323988</v>
      </c>
      <c r="H16" s="675">
        <f t="shared" si="1"/>
        <v>1.0440578662998081</v>
      </c>
      <c r="I16" s="676">
        <f t="shared" si="2"/>
        <v>0</v>
      </c>
      <c r="J16" s="28">
        <f t="shared" si="6"/>
        <v>0</v>
      </c>
      <c r="K16" s="28">
        <f t="shared" si="7"/>
        <v>-232530.91819240164</v>
      </c>
      <c r="L16" s="402">
        <f t="shared" si="3"/>
        <v>681850269.5441884</v>
      </c>
      <c r="M16" s="675">
        <f t="shared" si="8"/>
        <v>1.0437019333630269</v>
      </c>
      <c r="N16" s="863" t="s">
        <v>81</v>
      </c>
      <c r="O16" s="11"/>
    </row>
    <row r="17" spans="1:15" ht="9.75" customHeight="1">
      <c r="A17" s="13" t="s">
        <v>389</v>
      </c>
      <c r="B17" s="27" t="s">
        <v>87</v>
      </c>
      <c r="C17" s="35">
        <f>'1 Příspěvek na vzdělávání'!E17+'2 Podpora vědy'!E18+'3 SVV'!C17+'4.4. Nemovitosti'!L17+'4.4. Nemovitosti'!M17+'4.5 Rozvoj'!E17+'4.6 RUK'!E17</f>
        <v>228629943.88548988</v>
      </c>
      <c r="D17" s="35">
        <v>224897298</v>
      </c>
      <c r="E17" s="397">
        <f t="shared" si="0"/>
        <v>3732645.885489881</v>
      </c>
      <c r="F17" s="397">
        <f t="shared" si="4"/>
        <v>3732645.885489881</v>
      </c>
      <c r="G17" s="398">
        <f t="shared" si="5"/>
        <v>0.021982187094870147</v>
      </c>
      <c r="H17" s="675">
        <f t="shared" si="1"/>
        <v>1.0165971130764313</v>
      </c>
      <c r="I17" s="676">
        <f t="shared" si="2"/>
        <v>0</v>
      </c>
      <c r="J17" s="28">
        <f t="shared" si="6"/>
        <v>0</v>
      </c>
      <c r="K17" s="28">
        <f t="shared" si="7"/>
        <v>-30155.151022223024</v>
      </c>
      <c r="L17" s="402">
        <f t="shared" si="3"/>
        <v>228599788.73446766</v>
      </c>
      <c r="M17" s="675">
        <f t="shared" si="8"/>
        <v>1.0164630289798664</v>
      </c>
      <c r="N17" s="863" t="s">
        <v>87</v>
      </c>
      <c r="O17" s="11"/>
    </row>
    <row r="18" spans="1:15" ht="9.75" customHeight="1">
      <c r="A18" s="13" t="s">
        <v>390</v>
      </c>
      <c r="B18" s="41" t="s">
        <v>45</v>
      </c>
      <c r="C18" s="35">
        <f>'1 Příspěvek na vzdělávání'!E18+'2 Podpora vědy'!E19+'3 SVV'!C18+'4.4. Nemovitosti'!L18+'4.4. Nemovitosti'!M18+'4.5 Rozvoj'!E18+'4.6 RUK'!E18</f>
        <v>276884008.5454229</v>
      </c>
      <c r="D18" s="35">
        <v>260546546</v>
      </c>
      <c r="E18" s="397">
        <f t="shared" si="0"/>
        <v>16337462.545422912</v>
      </c>
      <c r="F18" s="397">
        <f t="shared" si="4"/>
        <v>16337462.545422912</v>
      </c>
      <c r="G18" s="398">
        <f t="shared" si="5"/>
        <v>0.09621409834910885</v>
      </c>
      <c r="H18" s="675">
        <f t="shared" si="1"/>
        <v>1.0627045831013353</v>
      </c>
      <c r="I18" s="676">
        <f t="shared" si="2"/>
        <v>0</v>
      </c>
      <c r="J18" s="28">
        <f t="shared" si="6"/>
        <v>0</v>
      </c>
      <c r="K18" s="28">
        <f t="shared" si="7"/>
        <v>-131986.4421889789</v>
      </c>
      <c r="L18" s="402">
        <f t="shared" si="3"/>
        <v>276752022.10323393</v>
      </c>
      <c r="M18" s="675">
        <f t="shared" si="8"/>
        <v>1.062198007810988</v>
      </c>
      <c r="N18" s="863" t="s">
        <v>45</v>
      </c>
      <c r="O18" s="11"/>
    </row>
    <row r="19" spans="1:15" ht="9.75" customHeight="1">
      <c r="A19" s="13" t="s">
        <v>391</v>
      </c>
      <c r="B19" s="27" t="s">
        <v>94</v>
      </c>
      <c r="C19" s="35">
        <f>'1 Příspěvek na vzdělávání'!E19+'2 Podpora vědy'!E20+'3 SVV'!C19+'4.4. Nemovitosti'!L19+'4.4. Nemovitosti'!M19+'4.5 Rozvoj'!E19+'4.6 RUK'!E19</f>
        <v>141955719.97053158</v>
      </c>
      <c r="D19" s="35">
        <v>140376606</v>
      </c>
      <c r="E19" s="397">
        <f t="shared" si="0"/>
        <v>1579113.9705315828</v>
      </c>
      <c r="F19" s="397">
        <f t="shared" si="4"/>
        <v>1579113.9705315828</v>
      </c>
      <c r="G19" s="398">
        <f t="shared" si="5"/>
        <v>0.009299671013338782</v>
      </c>
      <c r="H19" s="675">
        <f t="shared" si="1"/>
        <v>1.0112491248757758</v>
      </c>
      <c r="I19" s="676">
        <f t="shared" si="2"/>
        <v>0</v>
      </c>
      <c r="J19" s="28">
        <f t="shared" si="6"/>
        <v>0</v>
      </c>
      <c r="K19" s="28">
        <f t="shared" si="7"/>
        <v>-12757.283097170244</v>
      </c>
      <c r="L19" s="402">
        <f t="shared" si="3"/>
        <v>141942962.6874344</v>
      </c>
      <c r="M19" s="675">
        <f t="shared" si="8"/>
        <v>1.011158245893439</v>
      </c>
      <c r="N19" s="863" t="s">
        <v>94</v>
      </c>
      <c r="O19" s="11"/>
    </row>
    <row r="20" spans="1:15" ht="9.75" customHeight="1">
      <c r="A20" s="13" t="s">
        <v>392</v>
      </c>
      <c r="B20" s="27" t="s">
        <v>58</v>
      </c>
      <c r="C20" s="35">
        <f>'1 Příspěvek na vzdělávání'!E20+'2 Podpora vědy'!E21+'3 SVV'!C20+'4.4. Nemovitosti'!L20+'4.4. Nemovitosti'!M20+'4.5 Rozvoj'!E20+'4.6 RUK'!E20</f>
        <v>132201270.4239713</v>
      </c>
      <c r="D20" s="35">
        <v>127606871</v>
      </c>
      <c r="E20" s="397">
        <f t="shared" si="0"/>
        <v>4594399.423971295</v>
      </c>
      <c r="F20" s="397">
        <f t="shared" si="4"/>
        <v>4594399.423971295</v>
      </c>
      <c r="G20" s="398">
        <f t="shared" si="5"/>
        <v>0.027057200394739786</v>
      </c>
      <c r="H20" s="675">
        <f t="shared" si="1"/>
        <v>1.0360043263185357</v>
      </c>
      <c r="I20" s="676">
        <f t="shared" si="2"/>
        <v>0</v>
      </c>
      <c r="J20" s="28">
        <f t="shared" si="6"/>
        <v>0</v>
      </c>
      <c r="K20" s="28">
        <f t="shared" si="7"/>
        <v>-37117.05121153917</v>
      </c>
      <c r="L20" s="402">
        <f t="shared" si="3"/>
        <v>132164153.37275976</v>
      </c>
      <c r="M20" s="675">
        <f t="shared" si="8"/>
        <v>1.035713456000028</v>
      </c>
      <c r="N20" s="863" t="s">
        <v>58</v>
      </c>
      <c r="O20" s="11"/>
    </row>
    <row r="21" spans="1:15" ht="9.75" customHeight="1">
      <c r="A21" s="29" t="s">
        <v>393</v>
      </c>
      <c r="B21" s="78" t="s">
        <v>373</v>
      </c>
      <c r="C21" s="35">
        <f>'1 Příspěvek na vzdělávání'!E21+'2 Podpora vědy'!E22+'3 SVV'!C21+'4.4. Nemovitosti'!L21+'4.4. Nemovitosti'!M21+'4.5 Rozvoj'!E21+'4.6 RUK'!E21</f>
        <v>19051019.00769968</v>
      </c>
      <c r="D21" s="35">
        <v>19782660.079789396</v>
      </c>
      <c r="E21" s="397">
        <f t="shared" si="0"/>
        <v>-731641.0720897168</v>
      </c>
      <c r="F21" s="397">
        <f t="shared" si="4"/>
        <v>0</v>
      </c>
      <c r="G21" s="398">
        <f t="shared" si="5"/>
        <v>0</v>
      </c>
      <c r="H21" s="675">
        <f t="shared" si="1"/>
        <v>0.9630160418700625</v>
      </c>
      <c r="I21" s="676">
        <f t="shared" si="2"/>
        <v>0</v>
      </c>
      <c r="J21" s="28">
        <f t="shared" si="6"/>
        <v>0</v>
      </c>
      <c r="K21" s="28">
        <f t="shared" si="7"/>
        <v>0</v>
      </c>
      <c r="L21" s="402">
        <f t="shared" si="3"/>
        <v>19051019.00769968</v>
      </c>
      <c r="M21" s="675">
        <f t="shared" si="8"/>
        <v>0.9630160418700625</v>
      </c>
      <c r="N21" s="863" t="s">
        <v>373</v>
      </c>
      <c r="O21" s="11"/>
    </row>
    <row r="22" spans="1:12" ht="9.75" customHeight="1">
      <c r="A22" s="49" t="s">
        <v>421</v>
      </c>
      <c r="B22" s="50"/>
      <c r="C22" s="79">
        <f>SUM(C4:C21)</f>
        <v>4700022970.675349</v>
      </c>
      <c r="D22" s="79">
        <f>SUM(D4:D21)</f>
        <v>4533642848.079789</v>
      </c>
      <c r="E22" s="79">
        <f>SUM(E4:E21)</f>
        <v>166380122.5955599</v>
      </c>
      <c r="F22" s="79">
        <f>SUM(F4:F21)</f>
        <v>169803207.9055931</v>
      </c>
      <c r="G22" s="326">
        <f>SUM(G4:G21)</f>
        <v>1</v>
      </c>
      <c r="H22" s="26">
        <f t="shared" si="1"/>
        <v>1.0366989919962553</v>
      </c>
      <c r="I22" s="79">
        <f>SUM(I4:I21)</f>
        <v>1371799.3979434446</v>
      </c>
      <c r="J22" s="79">
        <f>SUM(J4:J21)</f>
        <v>1371799.3979434446</v>
      </c>
      <c r="K22" s="79">
        <f>SUM(K4:K21)</f>
        <v>-1371799.3979434446</v>
      </c>
      <c r="L22" s="79">
        <f>SUM(L4:L21)</f>
        <v>4700022970.675349</v>
      </c>
    </row>
    <row r="23" spans="1:11" ht="3.75" customHeight="1">
      <c r="A23" s="30"/>
      <c r="B23" s="31"/>
      <c r="C23" s="80"/>
      <c r="D23" s="80"/>
      <c r="E23" s="80"/>
      <c r="F23" s="80"/>
      <c r="G23" s="80"/>
      <c r="H23" s="81"/>
      <c r="I23" s="81"/>
      <c r="J23" s="82"/>
      <c r="K23" s="82"/>
    </row>
    <row r="24" spans="1:15" ht="9.75" customHeight="1">
      <c r="A24" s="243" t="s">
        <v>401</v>
      </c>
      <c r="B24" s="317" t="s">
        <v>402</v>
      </c>
      <c r="C24" s="318"/>
      <c r="D24" s="246"/>
      <c r="E24" s="246"/>
      <c r="F24" s="246"/>
      <c r="G24" s="246"/>
      <c r="H24" s="319"/>
      <c r="I24" s="320"/>
      <c r="J24" s="321">
        <f>I24</f>
        <v>0</v>
      </c>
      <c r="K24" s="321"/>
      <c r="L24" s="249">
        <f aca="true" t="shared" si="9" ref="L24:L34">C24+J24</f>
        <v>0</v>
      </c>
      <c r="O24" s="11"/>
    </row>
    <row r="25" spans="1:15" ht="11.25" customHeight="1">
      <c r="A25" s="243" t="s">
        <v>403</v>
      </c>
      <c r="B25" s="317" t="s">
        <v>419</v>
      </c>
      <c r="C25" s="318"/>
      <c r="D25" s="249"/>
      <c r="E25" s="249"/>
      <c r="F25" s="249"/>
      <c r="G25" s="249"/>
      <c r="H25" s="319"/>
      <c r="I25" s="320"/>
      <c r="J25" s="321">
        <f>I25</f>
        <v>0</v>
      </c>
      <c r="K25" s="321"/>
      <c r="L25" s="249">
        <f t="shared" si="9"/>
        <v>0</v>
      </c>
      <c r="O25" s="11"/>
    </row>
    <row r="26" spans="1:15" ht="11.25" customHeight="1">
      <c r="A26" s="322" t="s">
        <v>405</v>
      </c>
      <c r="B26" s="802" t="s">
        <v>406</v>
      </c>
      <c r="C26" s="818"/>
      <c r="D26" s="818"/>
      <c r="E26" s="818"/>
      <c r="F26" s="818"/>
      <c r="G26" s="818"/>
      <c r="H26" s="818"/>
      <c r="I26" s="818"/>
      <c r="J26" s="823"/>
      <c r="K26" s="823"/>
      <c r="L26" s="825">
        <f t="shared" si="9"/>
        <v>0</v>
      </c>
      <c r="O26" s="11"/>
    </row>
    <row r="27" spans="1:12" s="6" customFormat="1" ht="9.75" customHeight="1">
      <c r="A27" s="323"/>
      <c r="B27" s="803" t="s">
        <v>407</v>
      </c>
      <c r="C27" s="819"/>
      <c r="D27" s="819"/>
      <c r="E27" s="819"/>
      <c r="F27" s="819"/>
      <c r="G27" s="819"/>
      <c r="H27" s="819"/>
      <c r="I27" s="819"/>
      <c r="J27" s="822"/>
      <c r="K27" s="822"/>
      <c r="L27" s="805">
        <f t="shared" si="9"/>
        <v>0</v>
      </c>
    </row>
    <row r="28" spans="1:12" s="6" customFormat="1" ht="9.75" customHeight="1">
      <c r="A28" s="323"/>
      <c r="B28" s="803" t="s">
        <v>408</v>
      </c>
      <c r="C28" s="819"/>
      <c r="D28" s="819"/>
      <c r="E28" s="819"/>
      <c r="F28" s="819"/>
      <c r="G28" s="819"/>
      <c r="H28" s="819"/>
      <c r="I28" s="819"/>
      <c r="J28" s="822"/>
      <c r="K28" s="822"/>
      <c r="L28" s="805">
        <f t="shared" si="9"/>
        <v>0</v>
      </c>
    </row>
    <row r="29" spans="1:12" s="6" customFormat="1" ht="9.75" customHeight="1">
      <c r="A29" s="323"/>
      <c r="B29" s="803" t="s">
        <v>409</v>
      </c>
      <c r="C29" s="819"/>
      <c r="D29" s="819"/>
      <c r="E29" s="819"/>
      <c r="F29" s="819"/>
      <c r="G29" s="819"/>
      <c r="H29" s="819"/>
      <c r="I29" s="819"/>
      <c r="J29" s="822"/>
      <c r="K29" s="822"/>
      <c r="L29" s="805">
        <f t="shared" si="9"/>
        <v>0</v>
      </c>
    </row>
    <row r="30" spans="1:12" s="6" customFormat="1" ht="9.75" customHeight="1">
      <c r="A30" s="323"/>
      <c r="B30" s="803" t="s">
        <v>411</v>
      </c>
      <c r="C30" s="819"/>
      <c r="D30" s="819"/>
      <c r="E30" s="819"/>
      <c r="F30" s="819"/>
      <c r="G30" s="819"/>
      <c r="H30" s="819"/>
      <c r="I30" s="819"/>
      <c r="J30" s="822"/>
      <c r="K30" s="822"/>
      <c r="L30" s="805">
        <f t="shared" si="9"/>
        <v>0</v>
      </c>
    </row>
    <row r="31" spans="1:12" s="6" customFormat="1" ht="9.75" customHeight="1">
      <c r="A31" s="323"/>
      <c r="B31" s="803" t="s">
        <v>412</v>
      </c>
      <c r="C31" s="819"/>
      <c r="D31" s="819"/>
      <c r="E31" s="819"/>
      <c r="F31" s="819"/>
      <c r="G31" s="819"/>
      <c r="H31" s="819"/>
      <c r="I31" s="819"/>
      <c r="J31" s="822"/>
      <c r="K31" s="822"/>
      <c r="L31" s="805">
        <f t="shared" si="9"/>
        <v>0</v>
      </c>
    </row>
    <row r="32" spans="1:12" s="6" customFormat="1" ht="9.75" customHeight="1">
      <c r="A32" s="324"/>
      <c r="B32" s="804" t="s">
        <v>413</v>
      </c>
      <c r="C32" s="820"/>
      <c r="D32" s="820"/>
      <c r="E32" s="820"/>
      <c r="F32" s="820"/>
      <c r="G32" s="820"/>
      <c r="H32" s="820"/>
      <c r="I32" s="820"/>
      <c r="J32" s="824"/>
      <c r="K32" s="824"/>
      <c r="L32" s="826">
        <f t="shared" si="9"/>
        <v>0</v>
      </c>
    </row>
    <row r="33" spans="1:15" ht="9.75" customHeight="1">
      <c r="A33" s="243" t="s">
        <v>414</v>
      </c>
      <c r="B33" s="244" t="s">
        <v>415</v>
      </c>
      <c r="C33" s="318"/>
      <c r="D33" s="249"/>
      <c r="E33" s="249"/>
      <c r="F33" s="249"/>
      <c r="G33" s="249"/>
      <c r="H33" s="319"/>
      <c r="I33" s="319"/>
      <c r="J33" s="821">
        <f>I33</f>
        <v>0</v>
      </c>
      <c r="K33" s="321"/>
      <c r="L33" s="249">
        <f t="shared" si="9"/>
        <v>0</v>
      </c>
      <c r="O33" s="11"/>
    </row>
    <row r="34" spans="1:15" ht="9.75" customHeight="1">
      <c r="A34" s="243" t="s">
        <v>416</v>
      </c>
      <c r="B34" s="325" t="s">
        <v>417</v>
      </c>
      <c r="C34" s="318"/>
      <c r="D34" s="249"/>
      <c r="E34" s="249"/>
      <c r="F34" s="249"/>
      <c r="G34" s="249"/>
      <c r="H34" s="319"/>
      <c r="I34" s="320"/>
      <c r="J34" s="321">
        <f>I34</f>
        <v>0</v>
      </c>
      <c r="K34" s="321"/>
      <c r="L34" s="249">
        <f t="shared" si="9"/>
        <v>0</v>
      </c>
      <c r="O34" s="11"/>
    </row>
    <row r="35" spans="1:15" ht="9.75" customHeight="1">
      <c r="A35" s="243" t="s">
        <v>570</v>
      </c>
      <c r="B35" s="325" t="s">
        <v>571</v>
      </c>
      <c r="C35" s="318"/>
      <c r="D35" s="246"/>
      <c r="E35" s="246"/>
      <c r="F35" s="246"/>
      <c r="G35" s="246"/>
      <c r="H35" s="319"/>
      <c r="I35" s="320"/>
      <c r="J35" s="321"/>
      <c r="K35" s="321"/>
      <c r="L35" s="249"/>
      <c r="O35" s="11"/>
    </row>
    <row r="36" spans="1:15" ht="9.75" customHeight="1">
      <c r="A36" s="243" t="s">
        <v>649</v>
      </c>
      <c r="B36" s="325" t="s">
        <v>410</v>
      </c>
      <c r="C36" s="318"/>
      <c r="D36" s="246"/>
      <c r="E36" s="246"/>
      <c r="F36" s="246"/>
      <c r="G36" s="246"/>
      <c r="H36" s="319"/>
      <c r="I36" s="320"/>
      <c r="J36" s="321"/>
      <c r="K36" s="321"/>
      <c r="L36" s="249"/>
      <c r="O36" s="11"/>
    </row>
    <row r="37" spans="1:12" ht="9.75" customHeight="1">
      <c r="A37" s="20" t="s">
        <v>434</v>
      </c>
      <c r="B37" s="86"/>
      <c r="C37" s="79">
        <f>C22+C24+C25+SUM(C33:C36)</f>
        <v>4700022970.675349</v>
      </c>
      <c r="D37" s="265">
        <f aca="true" t="shared" si="10" ref="D37:L37">D22+D24+D25+SUM(D33:D36)</f>
        <v>4533642848.079789</v>
      </c>
      <c r="E37" s="265">
        <f t="shared" si="10"/>
        <v>166380122.5955599</v>
      </c>
      <c r="F37" s="265">
        <f t="shared" si="10"/>
        <v>169803207.9055931</v>
      </c>
      <c r="G37" s="327">
        <f t="shared" si="10"/>
        <v>1</v>
      </c>
      <c r="H37" s="327">
        <f t="shared" si="10"/>
        <v>1.0366989919962553</v>
      </c>
      <c r="I37" s="265">
        <f t="shared" si="10"/>
        <v>1371799.3979434446</v>
      </c>
      <c r="J37" s="265">
        <f t="shared" si="10"/>
        <v>1371799.3979434446</v>
      </c>
      <c r="K37" s="265">
        <f t="shared" si="10"/>
        <v>-1371799.3979434446</v>
      </c>
      <c r="L37" s="265">
        <f t="shared" si="10"/>
        <v>4700022970.675349</v>
      </c>
    </row>
    <row r="38" ht="9.75" customHeight="1">
      <c r="L38" s="401">
        <f>'1 Příspěvek na vzdělávání'!E22+'2 Podpora vědy'!E23+'3 SVV'!C22+'4.4. Nemovitosti'!J22+'4.5 Rozvoj'!E22+'4.6 RUK'!E22</f>
        <v>4700022970.675349</v>
      </c>
    </row>
    <row r="39" spans="1:2" ht="9.75" customHeight="1">
      <c r="A39" s="307" t="s">
        <v>435</v>
      </c>
      <c r="B39" s="329">
        <v>0.96</v>
      </c>
    </row>
    <row r="40" spans="2:12" ht="9.75" customHeight="1">
      <c r="B40" s="87"/>
      <c r="C40" s="328"/>
      <c r="L40" s="7">
        <f>L37-L38</f>
        <v>0</v>
      </c>
    </row>
  </sheetData>
  <sheetProtection/>
  <mergeCells count="2">
    <mergeCell ref="J3:K3"/>
    <mergeCell ref="A3:B3"/>
  </mergeCells>
  <printOptions/>
  <pageMargins left="0.9448818897637796" right="0.2362204724409449" top="1.220472440944882" bottom="0.4724409448818898" header="0.2755905511811024" footer="0.2362204724409449"/>
  <pageSetup fitToHeight="1" fitToWidth="1" horizontalDpi="600" verticalDpi="600" orientation="landscape" paperSize="9" scale="81" r:id="rId1"/>
  <headerFooter alignWithMargins="0">
    <oddHeader>&amp;C&amp;16&amp;A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1"/>
  <sheetViews>
    <sheetView workbookViewId="0" topLeftCell="A1">
      <selection activeCell="A53" sqref="A53"/>
    </sheetView>
  </sheetViews>
  <sheetFormatPr defaultColWidth="9.33203125" defaultRowHeight="10.5"/>
  <cols>
    <col min="1" max="1" width="13.66015625" style="0" customWidth="1"/>
    <col min="2" max="2" width="12.66015625" style="0" customWidth="1"/>
    <col min="3" max="3" width="12.16015625" style="0" bestFit="1" customWidth="1"/>
    <col min="4" max="5" width="14.33203125" style="0" bestFit="1" customWidth="1"/>
    <col min="6" max="6" width="12.16015625" style="0" bestFit="1" customWidth="1"/>
    <col min="7" max="8" width="14.33203125" style="0" bestFit="1" customWidth="1"/>
    <col min="9" max="9" width="12.16015625" style="0" bestFit="1" customWidth="1"/>
    <col min="10" max="11" width="14.33203125" style="0" bestFit="1" customWidth="1"/>
    <col min="12" max="12" width="12.66015625" style="0" bestFit="1" customWidth="1"/>
    <col min="13" max="13" width="16.16015625" style="0" bestFit="1" customWidth="1"/>
    <col min="14" max="15" width="11.66015625" style="0" customWidth="1"/>
    <col min="16" max="16" width="15.83203125" style="0" customWidth="1"/>
  </cols>
  <sheetData>
    <row r="1" ht="19.5">
      <c r="A1" s="834" t="s">
        <v>695</v>
      </c>
    </row>
    <row r="2" ht="15.75" customHeight="1">
      <c r="P2" s="1094" t="s">
        <v>1284</v>
      </c>
    </row>
    <row r="3" spans="1:16" ht="42" customHeight="1">
      <c r="A3" s="1151" t="s">
        <v>732</v>
      </c>
      <c r="B3" s="1152"/>
      <c r="C3" s="47" t="s">
        <v>619</v>
      </c>
      <c r="D3" s="311" t="s">
        <v>618</v>
      </c>
      <c r="E3" s="422">
        <v>2017</v>
      </c>
      <c r="F3" s="311" t="s">
        <v>620</v>
      </c>
      <c r="G3" s="311" t="s">
        <v>621</v>
      </c>
      <c r="H3" s="311" t="s">
        <v>622</v>
      </c>
      <c r="I3" s="311" t="s">
        <v>623</v>
      </c>
      <c r="J3" s="311" t="s">
        <v>624</v>
      </c>
      <c r="K3" s="311" t="s">
        <v>625</v>
      </c>
      <c r="L3" s="473" t="s">
        <v>1279</v>
      </c>
      <c r="M3" s="311" t="s">
        <v>1282</v>
      </c>
      <c r="N3" s="1153" t="s">
        <v>1281</v>
      </c>
      <c r="O3" s="1154"/>
      <c r="P3" s="311" t="s">
        <v>1283</v>
      </c>
    </row>
    <row r="4" spans="1:16" ht="9.75">
      <c r="A4" s="835" t="s">
        <v>376</v>
      </c>
      <c r="B4" s="835" t="s">
        <v>371</v>
      </c>
      <c r="C4" s="48">
        <v>2500000</v>
      </c>
      <c r="D4" s="314">
        <v>16334435.944498349</v>
      </c>
      <c r="E4" s="314">
        <f>SUM(C4:D4)</f>
        <v>18834435.94449835</v>
      </c>
      <c r="F4" s="314">
        <v>2500000</v>
      </c>
      <c r="G4" s="314">
        <v>16543175.336126547</v>
      </c>
      <c r="H4" s="314">
        <f>SUM(F4:G4)</f>
        <v>19043175.336126547</v>
      </c>
      <c r="I4" s="314">
        <v>2500000</v>
      </c>
      <c r="J4" s="314">
        <v>17051022.973583896</v>
      </c>
      <c r="K4" s="314">
        <f>SUM(I4:J4)</f>
        <v>19551022.973583896</v>
      </c>
      <c r="L4" s="513">
        <f>(E4/E$22*$B$25+H4/H$22*$B$26+K4/K$22*$B$27)/10</f>
        <v>0.010833894194625287</v>
      </c>
      <c r="M4" s="314">
        <f>ROUND(B$29*L4,0)</f>
        <v>24986002</v>
      </c>
      <c r="N4" s="1087"/>
      <c r="O4" s="1089">
        <f>ROUND((M4/$M$23)*$N$22,0)</f>
        <v>50668</v>
      </c>
      <c r="P4" s="314">
        <f>M4+O4-N4</f>
        <v>25036670</v>
      </c>
    </row>
    <row r="5" spans="1:18" ht="9.75">
      <c r="A5" s="835" t="s">
        <v>377</v>
      </c>
      <c r="B5" s="835" t="s">
        <v>68</v>
      </c>
      <c r="C5" s="48">
        <v>2500000</v>
      </c>
      <c r="D5" s="314">
        <v>11313291.075197928</v>
      </c>
      <c r="E5" s="314">
        <f aca="true" t="shared" si="0" ref="E5:E21">SUM(C5:D5)</f>
        <v>13813291.075197928</v>
      </c>
      <c r="F5" s="314">
        <v>2500000</v>
      </c>
      <c r="G5" s="314">
        <v>12543785.155659799</v>
      </c>
      <c r="H5" s="314">
        <f aca="true" t="shared" si="1" ref="H5:H21">SUM(F5:G5)</f>
        <v>15043785.155659799</v>
      </c>
      <c r="I5" s="314">
        <v>2500000</v>
      </c>
      <c r="J5" s="314">
        <v>14119517.581882278</v>
      </c>
      <c r="K5" s="314">
        <f aca="true" t="shared" si="2" ref="K5:K21">SUM(I5:J5)</f>
        <v>16619517.581882278</v>
      </c>
      <c r="L5" s="513">
        <f aca="true" t="shared" si="3" ref="L5:L21">(E5/E$22*$B$25+H5/H$22*$B$26+K5/K$22*$B$27)/10</f>
        <v>0.008391246048881092</v>
      </c>
      <c r="M5" s="314">
        <f aca="true" t="shared" si="4" ref="M5:M20">ROUND(B$29*L5,0)</f>
        <v>19352570</v>
      </c>
      <c r="N5" s="1087">
        <f>ROUND('1.4 Pokles za 2 roky'!L5*'1.3 Fix'!$B$31,0)+3</f>
        <v>3738968</v>
      </c>
      <c r="O5" s="1089"/>
      <c r="P5" s="314">
        <f aca="true" t="shared" si="5" ref="P5:P20">M5+O5-N5</f>
        <v>15613602</v>
      </c>
      <c r="R5" s="369"/>
    </row>
    <row r="6" spans="1:16" ht="9.75">
      <c r="A6" s="835" t="s">
        <v>378</v>
      </c>
      <c r="B6" s="835" t="s">
        <v>372</v>
      </c>
      <c r="C6" s="48">
        <v>2500000</v>
      </c>
      <c r="D6" s="314">
        <v>21338620.283406515</v>
      </c>
      <c r="E6" s="314">
        <f t="shared" si="0"/>
        <v>23838620.283406515</v>
      </c>
      <c r="F6" s="314">
        <v>2500000</v>
      </c>
      <c r="G6" s="314">
        <v>21637689.601738755</v>
      </c>
      <c r="H6" s="314">
        <f t="shared" si="1"/>
        <v>24137689.601738755</v>
      </c>
      <c r="I6" s="314">
        <v>2500000</v>
      </c>
      <c r="J6" s="314">
        <v>23339265.635536272</v>
      </c>
      <c r="K6" s="314">
        <f t="shared" si="2"/>
        <v>25839265.635536272</v>
      </c>
      <c r="L6" s="513">
        <f t="shared" si="3"/>
        <v>0.013842004011510853</v>
      </c>
      <c r="M6" s="314">
        <f t="shared" si="4"/>
        <v>31923548</v>
      </c>
      <c r="N6" s="1087"/>
      <c r="O6" s="1089">
        <f aca="true" t="shared" si="6" ref="O6:O19">ROUND((M6/$M$23)*$N$22,0)</f>
        <v>64736</v>
      </c>
      <c r="P6" s="314">
        <f t="shared" si="5"/>
        <v>31988284</v>
      </c>
    </row>
    <row r="7" spans="1:16" ht="9.75">
      <c r="A7" s="835" t="s">
        <v>379</v>
      </c>
      <c r="B7" s="835" t="s">
        <v>42</v>
      </c>
      <c r="C7" s="48"/>
      <c r="D7" s="314">
        <v>90649379.29124606</v>
      </c>
      <c r="E7" s="314">
        <f t="shared" si="0"/>
        <v>90649379.29124606</v>
      </c>
      <c r="F7" s="314"/>
      <c r="G7" s="314">
        <v>91485268.08646716</v>
      </c>
      <c r="H7" s="314">
        <f t="shared" si="1"/>
        <v>91485268.08646716</v>
      </c>
      <c r="I7" s="314"/>
      <c r="J7" s="314">
        <v>92205037.85074347</v>
      </c>
      <c r="K7" s="314">
        <f t="shared" si="2"/>
        <v>92205037.85074347</v>
      </c>
      <c r="L7" s="513">
        <f t="shared" si="3"/>
        <v>0.05189980129540546</v>
      </c>
      <c r="M7" s="314">
        <f t="shared" si="4"/>
        <v>119695516</v>
      </c>
      <c r="N7" s="1087"/>
      <c r="O7" s="1089">
        <f t="shared" si="6"/>
        <v>242723</v>
      </c>
      <c r="P7" s="314">
        <f t="shared" si="5"/>
        <v>119938239</v>
      </c>
    </row>
    <row r="8" spans="1:16" ht="9.75">
      <c r="A8" s="835" t="s">
        <v>380</v>
      </c>
      <c r="B8" s="835" t="s">
        <v>8</v>
      </c>
      <c r="C8" s="48"/>
      <c r="D8" s="314">
        <v>269978924.8175416</v>
      </c>
      <c r="E8" s="314">
        <f t="shared" si="0"/>
        <v>269978924.8175416</v>
      </c>
      <c r="F8" s="314"/>
      <c r="G8" s="314">
        <v>256947215.4384692</v>
      </c>
      <c r="H8" s="314">
        <f t="shared" si="1"/>
        <v>256947215.4384692</v>
      </c>
      <c r="I8" s="314"/>
      <c r="J8" s="314">
        <v>267345338.39205226</v>
      </c>
      <c r="K8" s="314">
        <f t="shared" si="2"/>
        <v>267345338.39205226</v>
      </c>
      <c r="L8" s="513">
        <f t="shared" si="3"/>
        <v>0.15104289885745495</v>
      </c>
      <c r="M8" s="314">
        <f t="shared" si="4"/>
        <v>348347340</v>
      </c>
      <c r="N8" s="1087"/>
      <c r="O8" s="1089">
        <f t="shared" si="6"/>
        <v>706392</v>
      </c>
      <c r="P8" s="314">
        <f t="shared" si="5"/>
        <v>349053732</v>
      </c>
    </row>
    <row r="9" spans="1:16" ht="9.75">
      <c r="A9" s="835" t="s">
        <v>381</v>
      </c>
      <c r="B9" s="835" t="s">
        <v>22</v>
      </c>
      <c r="C9" s="48"/>
      <c r="D9" s="314">
        <v>97292284.88718133</v>
      </c>
      <c r="E9" s="314">
        <f t="shared" si="0"/>
        <v>97292284.88718133</v>
      </c>
      <c r="F9" s="314"/>
      <c r="G9" s="314">
        <v>88903257.57554659</v>
      </c>
      <c r="H9" s="314">
        <f t="shared" si="1"/>
        <v>88903257.57554659</v>
      </c>
      <c r="I9" s="314"/>
      <c r="J9" s="314">
        <v>88173277.30428371</v>
      </c>
      <c r="K9" s="314">
        <f t="shared" si="2"/>
        <v>88173277.30428371</v>
      </c>
      <c r="L9" s="513">
        <f t="shared" si="3"/>
        <v>0.05286415742556812</v>
      </c>
      <c r="M9" s="314">
        <f t="shared" si="4"/>
        <v>121919592</v>
      </c>
      <c r="N9" s="1087"/>
      <c r="O9" s="1089">
        <f t="shared" si="6"/>
        <v>247233</v>
      </c>
      <c r="P9" s="314">
        <f t="shared" si="5"/>
        <v>122166825</v>
      </c>
    </row>
    <row r="10" spans="1:16" ht="9.75">
      <c r="A10" s="835" t="s">
        <v>382</v>
      </c>
      <c r="B10" s="835" t="s">
        <v>21</v>
      </c>
      <c r="C10" s="48"/>
      <c r="D10" s="314">
        <v>111088676.21427399</v>
      </c>
      <c r="E10" s="314">
        <f t="shared" si="0"/>
        <v>111088676.21427399</v>
      </c>
      <c r="F10" s="314"/>
      <c r="G10" s="314">
        <v>102191558.25564654</v>
      </c>
      <c r="H10" s="314">
        <f t="shared" si="1"/>
        <v>102191558.25564654</v>
      </c>
      <c r="I10" s="314"/>
      <c r="J10" s="314">
        <v>100190955.8337974</v>
      </c>
      <c r="K10" s="314">
        <f t="shared" si="2"/>
        <v>100190955.8337974</v>
      </c>
      <c r="L10" s="513">
        <f t="shared" si="3"/>
        <v>0.06042454662416399</v>
      </c>
      <c r="M10" s="314">
        <f t="shared" si="4"/>
        <v>139355973</v>
      </c>
      <c r="N10" s="1087"/>
      <c r="O10" s="1089">
        <f t="shared" si="6"/>
        <v>282591</v>
      </c>
      <c r="P10" s="314">
        <f t="shared" si="5"/>
        <v>139638564</v>
      </c>
    </row>
    <row r="11" spans="1:16" ht="9.75">
      <c r="A11" s="835" t="s">
        <v>383</v>
      </c>
      <c r="B11" s="835" t="s">
        <v>23</v>
      </c>
      <c r="C11" s="48"/>
      <c r="D11" s="314">
        <v>117381929.0514666</v>
      </c>
      <c r="E11" s="314">
        <f t="shared" si="0"/>
        <v>117381929.0514666</v>
      </c>
      <c r="F11" s="314"/>
      <c r="G11" s="314">
        <v>110818948.44582582</v>
      </c>
      <c r="H11" s="314">
        <f t="shared" si="1"/>
        <v>110818948.44582582</v>
      </c>
      <c r="I11" s="314"/>
      <c r="J11" s="314">
        <v>109546754.39526539</v>
      </c>
      <c r="K11" s="314">
        <f t="shared" si="2"/>
        <v>109546754.39526539</v>
      </c>
      <c r="L11" s="513">
        <f t="shared" si="3"/>
        <v>0.06475852011823692</v>
      </c>
      <c r="M11" s="314">
        <f t="shared" si="4"/>
        <v>149351333</v>
      </c>
      <c r="N11" s="1087"/>
      <c r="O11" s="1089">
        <f t="shared" si="6"/>
        <v>302860</v>
      </c>
      <c r="P11" s="314">
        <f t="shared" si="5"/>
        <v>149654193</v>
      </c>
    </row>
    <row r="12" spans="1:16" ht="9.75">
      <c r="A12" s="835" t="s">
        <v>384</v>
      </c>
      <c r="B12" s="835" t="s">
        <v>24</v>
      </c>
      <c r="C12" s="48"/>
      <c r="D12" s="314">
        <v>97986593.65745394</v>
      </c>
      <c r="E12" s="314">
        <f t="shared" si="0"/>
        <v>97986593.65745394</v>
      </c>
      <c r="F12" s="314"/>
      <c r="G12" s="314">
        <v>92438296.44237995</v>
      </c>
      <c r="H12" s="314">
        <f t="shared" si="1"/>
        <v>92438296.44237995</v>
      </c>
      <c r="I12" s="314"/>
      <c r="J12" s="314">
        <v>94394180.94621986</v>
      </c>
      <c r="K12" s="314">
        <f t="shared" si="2"/>
        <v>94394180.94621986</v>
      </c>
      <c r="L12" s="513">
        <f t="shared" si="3"/>
        <v>0.05437912384015066</v>
      </c>
      <c r="M12" s="314">
        <f t="shared" si="4"/>
        <v>125413530</v>
      </c>
      <c r="N12" s="1087"/>
      <c r="O12" s="1089">
        <f t="shared" si="6"/>
        <v>254318</v>
      </c>
      <c r="P12" s="314">
        <f t="shared" si="5"/>
        <v>125667848</v>
      </c>
    </row>
    <row r="13" spans="1:16" ht="9.75">
      <c r="A13" s="835" t="s">
        <v>385</v>
      </c>
      <c r="B13" s="835" t="s">
        <v>31</v>
      </c>
      <c r="C13" s="48"/>
      <c r="D13" s="314">
        <v>84439975.13541967</v>
      </c>
      <c r="E13" s="314">
        <f t="shared" si="0"/>
        <v>84439975.13541967</v>
      </c>
      <c r="F13" s="314"/>
      <c r="G13" s="314">
        <v>80740197.45767863</v>
      </c>
      <c r="H13" s="314">
        <f t="shared" si="1"/>
        <v>80740197.45767863</v>
      </c>
      <c r="I13" s="314"/>
      <c r="J13" s="314">
        <v>80499946.01010706</v>
      </c>
      <c r="K13" s="314">
        <f t="shared" si="2"/>
        <v>80499946.01010706</v>
      </c>
      <c r="L13" s="513">
        <f t="shared" si="3"/>
        <v>0.04695456728194196</v>
      </c>
      <c r="M13" s="314">
        <f t="shared" si="4"/>
        <v>108290418</v>
      </c>
      <c r="N13" s="1087"/>
      <c r="O13" s="1089">
        <f t="shared" si="6"/>
        <v>219595</v>
      </c>
      <c r="P13" s="314">
        <f t="shared" si="5"/>
        <v>108510013</v>
      </c>
    </row>
    <row r="14" spans="1:16" ht="9.75">
      <c r="A14" s="835" t="s">
        <v>386</v>
      </c>
      <c r="B14" s="835" t="s">
        <v>37</v>
      </c>
      <c r="C14" s="48"/>
      <c r="D14" s="314">
        <v>133360611.43818563</v>
      </c>
      <c r="E14" s="314">
        <f t="shared" si="0"/>
        <v>133360611.43818563</v>
      </c>
      <c r="F14" s="314"/>
      <c r="G14" s="314">
        <v>135280738.86626613</v>
      </c>
      <c r="H14" s="314">
        <f t="shared" si="1"/>
        <v>135280738.86626613</v>
      </c>
      <c r="I14" s="314"/>
      <c r="J14" s="314">
        <v>145750167.23358667</v>
      </c>
      <c r="K14" s="314">
        <f t="shared" si="2"/>
        <v>145750167.23358667</v>
      </c>
      <c r="L14" s="513">
        <f t="shared" si="3"/>
        <v>0.07761479606011798</v>
      </c>
      <c r="M14" s="314">
        <f t="shared" si="4"/>
        <v>179001515</v>
      </c>
      <c r="N14" s="1087"/>
      <c r="O14" s="1089">
        <f t="shared" si="6"/>
        <v>362986</v>
      </c>
      <c r="P14" s="314">
        <f t="shared" si="5"/>
        <v>179364501</v>
      </c>
    </row>
    <row r="15" spans="1:18" s="9" customFormat="1" ht="9.75">
      <c r="A15" s="835" t="s">
        <v>387</v>
      </c>
      <c r="B15" s="835" t="s">
        <v>72</v>
      </c>
      <c r="C15" s="670"/>
      <c r="D15" s="671">
        <v>236429921.8068724</v>
      </c>
      <c r="E15" s="671">
        <f t="shared" si="0"/>
        <v>236429921.8068724</v>
      </c>
      <c r="F15" s="671"/>
      <c r="G15" s="671">
        <v>225507474.2570118</v>
      </c>
      <c r="H15" s="671">
        <f t="shared" si="1"/>
        <v>225507474.2570118</v>
      </c>
      <c r="I15" s="671"/>
      <c r="J15" s="671">
        <v>233526177.81044078</v>
      </c>
      <c r="K15" s="671">
        <f t="shared" si="2"/>
        <v>233526177.81044078</v>
      </c>
      <c r="L15" s="669">
        <f t="shared" si="3"/>
        <v>0.13229150981668122</v>
      </c>
      <c r="M15" s="314">
        <f>ROUND(B$29*L15,0)</f>
        <v>305101371</v>
      </c>
      <c r="N15" s="1087"/>
      <c r="O15" s="1089">
        <f>ROUND((M15/$M$23)*$N$22,0)-1</f>
        <v>618695</v>
      </c>
      <c r="P15" s="314">
        <f>M15+O15-N15</f>
        <v>305720066</v>
      </c>
      <c r="R15" s="369"/>
    </row>
    <row r="16" spans="1:16" ht="9.75">
      <c r="A16" s="835" t="s">
        <v>388</v>
      </c>
      <c r="B16" s="835" t="s">
        <v>81</v>
      </c>
      <c r="C16" s="48"/>
      <c r="D16" s="314">
        <v>107884644.27815305</v>
      </c>
      <c r="E16" s="314">
        <f t="shared" si="0"/>
        <v>107884644.27815305</v>
      </c>
      <c r="F16" s="314"/>
      <c r="G16" s="314">
        <v>116602285.96414092</v>
      </c>
      <c r="H16" s="314">
        <f t="shared" si="1"/>
        <v>116602285.96414092</v>
      </c>
      <c r="I16" s="314"/>
      <c r="J16" s="314">
        <v>129547899.83227395</v>
      </c>
      <c r="K16" s="314">
        <f t="shared" si="2"/>
        <v>129547899.83227395</v>
      </c>
      <c r="L16" s="513">
        <f t="shared" si="3"/>
        <v>0.0653528954404585</v>
      </c>
      <c r="M16" s="314">
        <f t="shared" si="4"/>
        <v>150722129</v>
      </c>
      <c r="N16" s="1087"/>
      <c r="O16" s="1089">
        <f t="shared" si="6"/>
        <v>305640</v>
      </c>
      <c r="P16" s="314">
        <f t="shared" si="5"/>
        <v>151027769</v>
      </c>
    </row>
    <row r="17" spans="1:16" ht="9.75">
      <c r="A17" s="835" t="s">
        <v>389</v>
      </c>
      <c r="B17" s="835" t="s">
        <v>87</v>
      </c>
      <c r="C17" s="48"/>
      <c r="D17" s="314">
        <v>131787437.1081919</v>
      </c>
      <c r="E17" s="314">
        <f t="shared" si="0"/>
        <v>131787437.1081919</v>
      </c>
      <c r="F17" s="314"/>
      <c r="G17" s="314">
        <v>126538146.40997107</v>
      </c>
      <c r="H17" s="314">
        <f t="shared" si="1"/>
        <v>126538146.40997107</v>
      </c>
      <c r="I17" s="314"/>
      <c r="J17" s="314">
        <v>129052652.34636453</v>
      </c>
      <c r="K17" s="314">
        <f t="shared" si="2"/>
        <v>129052652.34636453</v>
      </c>
      <c r="L17" s="513">
        <f t="shared" si="3"/>
        <v>0.0737603767709959</v>
      </c>
      <c r="M17" s="314">
        <f t="shared" si="4"/>
        <v>170112142</v>
      </c>
      <c r="N17" s="1087"/>
      <c r="O17" s="1089">
        <f t="shared" si="6"/>
        <v>344960</v>
      </c>
      <c r="P17" s="314">
        <f t="shared" si="5"/>
        <v>170457102</v>
      </c>
    </row>
    <row r="18" spans="1:16" ht="9.75">
      <c r="A18" s="835" t="s">
        <v>390</v>
      </c>
      <c r="B18" s="835" t="s">
        <v>45</v>
      </c>
      <c r="C18" s="48"/>
      <c r="D18" s="314">
        <v>104469610.42585869</v>
      </c>
      <c r="E18" s="314">
        <f t="shared" si="0"/>
        <v>104469610.42585869</v>
      </c>
      <c r="F18" s="314"/>
      <c r="G18" s="314">
        <v>97917178.30290817</v>
      </c>
      <c r="H18" s="314">
        <f t="shared" si="1"/>
        <v>97917178.30290817</v>
      </c>
      <c r="I18" s="314"/>
      <c r="J18" s="314">
        <v>97885704.38117112</v>
      </c>
      <c r="K18" s="314">
        <f t="shared" si="2"/>
        <v>97885704.38117112</v>
      </c>
      <c r="L18" s="513">
        <f t="shared" si="3"/>
        <v>0.05755476482576988</v>
      </c>
      <c r="M18" s="314">
        <f t="shared" si="4"/>
        <v>132737450</v>
      </c>
      <c r="N18" s="1087"/>
      <c r="O18" s="1089">
        <f t="shared" si="6"/>
        <v>269170</v>
      </c>
      <c r="P18" s="314">
        <f t="shared" si="5"/>
        <v>133006620</v>
      </c>
    </row>
    <row r="19" spans="1:16" ht="9.75">
      <c r="A19" s="835" t="s">
        <v>391</v>
      </c>
      <c r="B19" s="835" t="s">
        <v>94</v>
      </c>
      <c r="C19" s="48"/>
      <c r="D19" s="314">
        <v>76684819.76491325</v>
      </c>
      <c r="E19" s="314">
        <f t="shared" si="0"/>
        <v>76684819.76491325</v>
      </c>
      <c r="F19" s="314"/>
      <c r="G19" s="314">
        <v>77196321.24033214</v>
      </c>
      <c r="H19" s="314">
        <f t="shared" si="1"/>
        <v>77196321.24033214</v>
      </c>
      <c r="I19" s="314"/>
      <c r="J19" s="314">
        <v>78641229.82388534</v>
      </c>
      <c r="K19" s="314">
        <f t="shared" si="2"/>
        <v>78641229.82388534</v>
      </c>
      <c r="L19" s="513">
        <f t="shared" si="3"/>
        <v>0.04394282553902472</v>
      </c>
      <c r="M19" s="314">
        <f t="shared" si="4"/>
        <v>101344496</v>
      </c>
      <c r="N19" s="1087"/>
      <c r="O19" s="1089">
        <f t="shared" si="6"/>
        <v>205510</v>
      </c>
      <c r="P19" s="314">
        <f t="shared" si="5"/>
        <v>101550006</v>
      </c>
    </row>
    <row r="20" spans="1:16" ht="9.75">
      <c r="A20" s="835" t="s">
        <v>392</v>
      </c>
      <c r="B20" s="835" t="s">
        <v>58</v>
      </c>
      <c r="C20" s="48"/>
      <c r="D20" s="314">
        <v>55596494.557318226</v>
      </c>
      <c r="E20" s="314">
        <f t="shared" si="0"/>
        <v>55596494.557318226</v>
      </c>
      <c r="F20" s="314"/>
      <c r="G20" s="314">
        <v>54360990.48635656</v>
      </c>
      <c r="H20" s="314">
        <f t="shared" si="1"/>
        <v>54360990.48635656</v>
      </c>
      <c r="I20" s="314"/>
      <c r="J20" s="314">
        <v>57615733.26355998</v>
      </c>
      <c r="K20" s="314">
        <f t="shared" si="2"/>
        <v>57615733.26355998</v>
      </c>
      <c r="L20" s="513">
        <f t="shared" si="3"/>
        <v>0.031646127324917464</v>
      </c>
      <c r="M20" s="314">
        <f t="shared" si="4"/>
        <v>72984856</v>
      </c>
      <c r="N20" s="1087"/>
      <c r="O20" s="1089">
        <f>ROUND((M20/$M$23)*$N$22,0)+1</f>
        <v>148002</v>
      </c>
      <c r="P20" s="314">
        <f t="shared" si="5"/>
        <v>73132858</v>
      </c>
    </row>
    <row r="21" spans="1:16" ht="9.75">
      <c r="A21" s="835" t="s">
        <v>393</v>
      </c>
      <c r="B21" s="835" t="s">
        <v>373</v>
      </c>
      <c r="C21" s="48">
        <v>1500000</v>
      </c>
      <c r="D21" s="314">
        <v>2892244.2628210015</v>
      </c>
      <c r="E21" s="314">
        <f t="shared" si="0"/>
        <v>4392244.262821002</v>
      </c>
      <c r="F21" s="314">
        <v>1500000</v>
      </c>
      <c r="G21" s="314">
        <v>2662543.181480634</v>
      </c>
      <c r="H21" s="314">
        <f t="shared" si="1"/>
        <v>4162543.181480634</v>
      </c>
      <c r="I21" s="314">
        <v>1500000</v>
      </c>
      <c r="J21" s="314">
        <v>2776255.733687924</v>
      </c>
      <c r="K21" s="314">
        <f t="shared" si="2"/>
        <v>4276255.733687924</v>
      </c>
      <c r="L21" s="513">
        <f t="shared" si="3"/>
        <v>0.002445944524095065</v>
      </c>
      <c r="M21" s="314">
        <f>B29-SUM(M4:M20)</f>
        <v>5641037</v>
      </c>
      <c r="N21" s="1087">
        <f>ROUND('1.4 Pokles za 2 roky'!L21*'1.3 Fix'!$B$31,0)</f>
        <v>887111</v>
      </c>
      <c r="O21" s="1089"/>
      <c r="P21" s="314">
        <f>M21+O21-N21</f>
        <v>4753926</v>
      </c>
    </row>
    <row r="22" spans="1:16" ht="9.75">
      <c r="A22" s="299" t="s">
        <v>421</v>
      </c>
      <c r="B22" s="315"/>
      <c r="C22" s="51">
        <f aca="true" t="shared" si="7" ref="C22:L22">SUM(C4:C21)</f>
        <v>9000000</v>
      </c>
      <c r="D22" s="51">
        <f t="shared" si="7"/>
        <v>1766909894</v>
      </c>
      <c r="E22" s="51">
        <f t="shared" si="7"/>
        <v>1775909894</v>
      </c>
      <c r="F22" s="51">
        <f t="shared" si="7"/>
        <v>9000000</v>
      </c>
      <c r="G22" s="51">
        <f t="shared" si="7"/>
        <v>1710315070.5040064</v>
      </c>
      <c r="H22" s="51">
        <f t="shared" si="7"/>
        <v>1719315070.5040064</v>
      </c>
      <c r="I22" s="51">
        <f t="shared" si="7"/>
        <v>9000000</v>
      </c>
      <c r="J22" s="51">
        <f t="shared" si="7"/>
        <v>1761661117.3484423</v>
      </c>
      <c r="K22" s="51">
        <f t="shared" si="7"/>
        <v>1770661117.3484423</v>
      </c>
      <c r="L22" s="1085">
        <f t="shared" si="7"/>
        <v>1</v>
      </c>
      <c r="M22" s="1086">
        <f>SUM(M4:M21)</f>
        <v>2306280818</v>
      </c>
      <c r="N22" s="1088">
        <f>SUM(N4:N21)</f>
        <v>4626079</v>
      </c>
      <c r="O22" s="1090">
        <f>SUM(O4:O21)</f>
        <v>4626079</v>
      </c>
      <c r="P22" s="1086">
        <f>SUM(P4:P21)</f>
        <v>2306280818</v>
      </c>
    </row>
    <row r="23" spans="1:16" s="16" customFormat="1" ht="9.75">
      <c r="A23" s="417"/>
      <c r="B23" s="418"/>
      <c r="C23" s="46"/>
      <c r="D23" s="46"/>
      <c r="E23" s="46"/>
      <c r="F23" s="46"/>
      <c r="G23" s="46"/>
      <c r="H23" s="46"/>
      <c r="I23" s="46"/>
      <c r="J23" s="46"/>
      <c r="K23" s="46"/>
      <c r="L23" s="1092" t="s">
        <v>1280</v>
      </c>
      <c r="M23" s="1091">
        <f>M22-M21-M5</f>
        <v>2281287211</v>
      </c>
      <c r="P23" s="452">
        <f>Bilance!C82</f>
        <v>2306280818</v>
      </c>
    </row>
    <row r="24" spans="1:17" ht="9.75">
      <c r="A24" s="416" t="s">
        <v>626</v>
      </c>
      <c r="Q24" s="7"/>
    </row>
    <row r="25" spans="1:2" ht="9.75">
      <c r="A25" s="298">
        <v>2017</v>
      </c>
      <c r="B25" s="419">
        <v>5</v>
      </c>
    </row>
    <row r="26" spans="1:2" ht="9.75">
      <c r="A26" s="298">
        <v>2016</v>
      </c>
      <c r="B26" s="419">
        <v>3</v>
      </c>
    </row>
    <row r="27" spans="1:2" ht="9.75">
      <c r="A27" s="298">
        <v>2015</v>
      </c>
      <c r="B27" s="419">
        <v>2</v>
      </c>
    </row>
    <row r="28" spans="1:2" ht="9.75">
      <c r="A28" s="385"/>
      <c r="B28" s="420"/>
    </row>
    <row r="29" spans="1:2" ht="19.5">
      <c r="A29" s="1084" t="s">
        <v>1277</v>
      </c>
      <c r="B29" s="421">
        <f>Bilance!C82</f>
        <v>2306280818</v>
      </c>
    </row>
    <row r="30" spans="1:2" ht="9.75">
      <c r="A30" s="99"/>
      <c r="B30" s="7"/>
    </row>
    <row r="31" spans="1:2" ht="44.25" customHeight="1">
      <c r="A31" s="1084" t="s">
        <v>1278</v>
      </c>
      <c r="B31" s="421">
        <f>B29/SIMS_2017!L712</f>
        <v>59537.66649026112</v>
      </c>
    </row>
  </sheetData>
  <sheetProtection/>
  <mergeCells count="2">
    <mergeCell ref="A3:B3"/>
    <mergeCell ref="N3:O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3" r:id="rId1"/>
  <headerFooter>
    <oddHeader>&amp;C&amp;A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"/>
  <sheetViews>
    <sheetView zoomScalePageLayoutView="0" workbookViewId="0" topLeftCell="A1">
      <selection activeCell="A53" sqref="A53"/>
    </sheetView>
  </sheetViews>
  <sheetFormatPr defaultColWidth="9.33203125" defaultRowHeight="10.5"/>
  <cols>
    <col min="3" max="3" width="16.66015625" style="0" bestFit="1" customWidth="1"/>
    <col min="4" max="4" width="12.83203125" style="0" customWidth="1"/>
    <col min="5" max="5" width="14.16015625" style="0" customWidth="1"/>
    <col min="6" max="6" width="12.83203125" style="0" customWidth="1"/>
    <col min="7" max="7" width="14" style="0" customWidth="1"/>
    <col min="8" max="9" width="12.83203125" style="0" customWidth="1"/>
    <col min="10" max="10" width="10.16015625" style="0" customWidth="1"/>
    <col min="11" max="11" width="14" style="0" customWidth="1"/>
  </cols>
  <sheetData>
    <row r="1" spans="1:11" ht="31.5" customHeight="1">
      <c r="A1" s="1021"/>
      <c r="B1" s="1022"/>
      <c r="C1" s="1022"/>
      <c r="D1" s="1248" t="s">
        <v>748</v>
      </c>
      <c r="E1" s="1248"/>
      <c r="F1" s="1248" t="s">
        <v>749</v>
      </c>
      <c r="G1" s="1248"/>
      <c r="H1" s="1248" t="s">
        <v>750</v>
      </c>
      <c r="I1" s="1248" t="s">
        <v>751</v>
      </c>
      <c r="J1" s="1248" t="s">
        <v>752</v>
      </c>
      <c r="K1" s="1249" t="s">
        <v>753</v>
      </c>
    </row>
    <row r="2" spans="1:11" ht="30">
      <c r="A2" s="1030" t="s">
        <v>128</v>
      </c>
      <c r="B2" s="1031" t="s">
        <v>762</v>
      </c>
      <c r="C2" s="1032" t="s">
        <v>0</v>
      </c>
      <c r="D2" s="1019" t="s">
        <v>754</v>
      </c>
      <c r="E2" s="1019" t="s">
        <v>755</v>
      </c>
      <c r="F2" s="1019" t="s">
        <v>754</v>
      </c>
      <c r="G2" s="1019" t="s">
        <v>755</v>
      </c>
      <c r="H2" s="1225"/>
      <c r="I2" s="1225"/>
      <c r="J2" s="1225"/>
      <c r="K2" s="1250"/>
    </row>
    <row r="3" spans="1:11" ht="9.75">
      <c r="A3" s="1023" t="s">
        <v>401</v>
      </c>
      <c r="B3" s="293" t="s">
        <v>402</v>
      </c>
      <c r="C3" s="293" t="s">
        <v>756</v>
      </c>
      <c r="D3" s="1024">
        <v>0</v>
      </c>
      <c r="E3" s="1024">
        <v>0</v>
      </c>
      <c r="F3" s="1024">
        <v>0</v>
      </c>
      <c r="G3" s="1024">
        <v>0</v>
      </c>
      <c r="H3" s="1024">
        <f>(F3+G3)*0.4</f>
        <v>0</v>
      </c>
      <c r="I3" s="1024">
        <f>+D3+E3+H3</f>
        <v>0</v>
      </c>
      <c r="J3" s="1025"/>
      <c r="K3" s="1026"/>
    </row>
    <row r="4" spans="1:11" ht="9.75">
      <c r="A4" s="1023" t="s">
        <v>401</v>
      </c>
      <c r="B4" s="293" t="s">
        <v>402</v>
      </c>
      <c r="C4" s="293" t="s">
        <v>757</v>
      </c>
      <c r="D4" s="1024">
        <v>2323</v>
      </c>
      <c r="E4" s="1024"/>
      <c r="F4" s="1024">
        <v>505</v>
      </c>
      <c r="G4" s="1024"/>
      <c r="H4" s="1024">
        <f>(F4+G4)*0.4</f>
        <v>202</v>
      </c>
      <c r="I4" s="1024">
        <f>+D4+E4+H4</f>
        <v>2525</v>
      </c>
      <c r="J4" s="1025"/>
      <c r="K4" s="1026"/>
    </row>
    <row r="5" spans="1:11" s="9" customFormat="1" ht="9.75">
      <c r="A5" s="1033" t="s">
        <v>401</v>
      </c>
      <c r="B5" s="1034" t="s">
        <v>758</v>
      </c>
      <c r="C5" s="1034" t="s">
        <v>759</v>
      </c>
      <c r="D5" s="1035">
        <f aca="true" t="shared" si="0" ref="D5:I5">SUM(D3:D4)</f>
        <v>2323</v>
      </c>
      <c r="E5" s="1035">
        <f t="shared" si="0"/>
        <v>0</v>
      </c>
      <c r="F5" s="1035">
        <f t="shared" si="0"/>
        <v>505</v>
      </c>
      <c r="G5" s="1035">
        <f t="shared" si="0"/>
        <v>0</v>
      </c>
      <c r="H5" s="1035">
        <f t="shared" si="0"/>
        <v>202</v>
      </c>
      <c r="I5" s="1035">
        <f t="shared" si="0"/>
        <v>2525</v>
      </c>
      <c r="J5" s="1036">
        <f>I5/$I$10</f>
        <v>0.002742588169050311</v>
      </c>
      <c r="K5" s="1037">
        <f>ROUND(F12*J5,0)</f>
        <v>45324</v>
      </c>
    </row>
    <row r="6" spans="1:11" ht="9.75">
      <c r="A6" s="1023" t="s">
        <v>416</v>
      </c>
      <c r="B6" s="293" t="s">
        <v>417</v>
      </c>
      <c r="C6" s="293" t="s">
        <v>756</v>
      </c>
      <c r="D6" s="1024">
        <v>752049</v>
      </c>
      <c r="E6" s="1024">
        <v>74708</v>
      </c>
      <c r="F6" s="1024">
        <v>59178</v>
      </c>
      <c r="G6" s="1024"/>
      <c r="H6" s="1024">
        <f>(F6+G6)*0.4</f>
        <v>23671.2</v>
      </c>
      <c r="I6" s="1024">
        <f>+D6+E6+H6</f>
        <v>850428.2</v>
      </c>
      <c r="J6" s="1025"/>
      <c r="K6" s="1026"/>
    </row>
    <row r="7" spans="1:11" ht="9.75">
      <c r="A7" s="1023" t="s">
        <v>416</v>
      </c>
      <c r="B7" s="293" t="s">
        <v>417</v>
      </c>
      <c r="C7" s="293" t="s">
        <v>757</v>
      </c>
      <c r="D7" s="1024">
        <v>67710</v>
      </c>
      <c r="E7" s="1024"/>
      <c r="F7" s="1024"/>
      <c r="G7" s="1024"/>
      <c r="H7" s="1024">
        <f>(F7+G7)*0.4</f>
        <v>0</v>
      </c>
      <c r="I7" s="1024">
        <f>+D7+E7+H7</f>
        <v>67710</v>
      </c>
      <c r="J7" s="1025"/>
      <c r="K7" s="1026"/>
    </row>
    <row r="8" spans="1:11" s="9" customFormat="1" ht="10.5" thickBot="1">
      <c r="A8" s="1038" t="s">
        <v>416</v>
      </c>
      <c r="B8" s="1039" t="s">
        <v>417</v>
      </c>
      <c r="C8" s="1039" t="s">
        <v>759</v>
      </c>
      <c r="D8" s="1040">
        <f aca="true" t="shared" si="1" ref="D8:I8">SUM(D6:D7)</f>
        <v>819759</v>
      </c>
      <c r="E8" s="1040">
        <f t="shared" si="1"/>
        <v>74708</v>
      </c>
      <c r="F8" s="1040">
        <f t="shared" si="1"/>
        <v>59178</v>
      </c>
      <c r="G8" s="1040">
        <f t="shared" si="1"/>
        <v>0</v>
      </c>
      <c r="H8" s="1040">
        <f t="shared" si="1"/>
        <v>23671.2</v>
      </c>
      <c r="I8" s="1040">
        <f t="shared" si="1"/>
        <v>918138.2</v>
      </c>
      <c r="J8" s="1041">
        <f>I8/$I$10</f>
        <v>0.9972574118309497</v>
      </c>
      <c r="K8" s="1042">
        <f>F12-K5</f>
        <v>16480676</v>
      </c>
    </row>
    <row r="9" spans="1:11" ht="10.5" thickBot="1">
      <c r="A9" s="3"/>
      <c r="B9" s="3"/>
      <c r="C9" s="3"/>
      <c r="D9" s="1027"/>
      <c r="E9" s="1027"/>
      <c r="F9" s="1027"/>
      <c r="G9" s="1027"/>
      <c r="H9" s="1027"/>
      <c r="I9" s="1027"/>
      <c r="J9" s="1028"/>
      <c r="K9" s="1027"/>
    </row>
    <row r="10" spans="1:11" s="9" customFormat="1" ht="11.25" thickBot="1">
      <c r="A10" s="1043"/>
      <c r="B10" s="1044" t="s">
        <v>107</v>
      </c>
      <c r="C10" s="1045" t="s">
        <v>5</v>
      </c>
      <c r="D10" s="1046">
        <f aca="true" t="shared" si="2" ref="D10:I10">D5+D8</f>
        <v>822082</v>
      </c>
      <c r="E10" s="1046">
        <f t="shared" si="2"/>
        <v>74708</v>
      </c>
      <c r="F10" s="1046">
        <f t="shared" si="2"/>
        <v>59683</v>
      </c>
      <c r="G10" s="1046">
        <f t="shared" si="2"/>
        <v>0</v>
      </c>
      <c r="H10" s="1046">
        <f t="shared" si="2"/>
        <v>23873.2</v>
      </c>
      <c r="I10" s="1046">
        <f t="shared" si="2"/>
        <v>920663.2</v>
      </c>
      <c r="J10" s="1047"/>
      <c r="K10" s="1048">
        <f>K5+K8</f>
        <v>16526000</v>
      </c>
    </row>
    <row r="11" spans="1:11" ht="10.5">
      <c r="A11" s="3"/>
      <c r="B11" s="3"/>
      <c r="C11" s="3"/>
      <c r="D11" s="3"/>
      <c r="E11" s="3"/>
      <c r="F11" s="3"/>
      <c r="G11" s="3"/>
      <c r="H11" s="3"/>
      <c r="I11" s="3"/>
      <c r="J11" s="3"/>
      <c r="K11" s="1027"/>
    </row>
    <row r="12" spans="1:11" ht="10.5">
      <c r="A12" s="1251" t="s">
        <v>760</v>
      </c>
      <c r="B12" s="1251"/>
      <c r="C12" s="1251"/>
      <c r="D12" s="1251"/>
      <c r="E12" s="1251"/>
      <c r="F12" s="45">
        <f>Bilance!C88</f>
        <v>16526000</v>
      </c>
      <c r="G12" s="4"/>
      <c r="H12" s="4"/>
      <c r="I12" s="4"/>
      <c r="J12" s="4"/>
      <c r="K12" s="4"/>
    </row>
    <row r="13" spans="1:11" ht="10.5">
      <c r="A13" s="1251" t="s">
        <v>761</v>
      </c>
      <c r="B13" s="1251"/>
      <c r="C13" s="1251"/>
      <c r="D13" s="1251"/>
      <c r="E13" s="1251"/>
      <c r="F13" s="1029">
        <v>17.95</v>
      </c>
      <c r="G13" s="4"/>
      <c r="H13" s="4"/>
      <c r="I13" s="4"/>
      <c r="J13" s="4"/>
      <c r="K13" s="4"/>
    </row>
  </sheetData>
  <sheetProtection/>
  <mergeCells count="8">
    <mergeCell ref="J1:J2"/>
    <mergeCell ref="K1:K2"/>
    <mergeCell ref="A12:E12"/>
    <mergeCell ref="A13:E13"/>
    <mergeCell ref="D1:E1"/>
    <mergeCell ref="F1:G1"/>
    <mergeCell ref="H1:H2"/>
    <mergeCell ref="I1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headerFooter>
    <oddHeader>&amp;C&amp;14Stravování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8"/>
  <sheetViews>
    <sheetView showZeros="0" workbookViewId="0" topLeftCell="A1">
      <pane xSplit="2" ySplit="3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N41" sqref="N41"/>
    </sheetView>
  </sheetViews>
  <sheetFormatPr defaultColWidth="9.33203125" defaultRowHeight="9.75" customHeight="1"/>
  <cols>
    <col min="1" max="1" width="5.16015625" style="0" customWidth="1"/>
    <col min="2" max="2" width="18.5" style="0" customWidth="1"/>
    <col min="3" max="3" width="14.83203125" style="0" bestFit="1" customWidth="1"/>
    <col min="4" max="4" width="15.5" style="0" customWidth="1"/>
    <col min="5" max="5" width="13.83203125" style="0" customWidth="1"/>
    <col min="6" max="6" width="13.5" style="0" customWidth="1"/>
    <col min="7" max="7" width="12.16015625" style="0" customWidth="1"/>
    <col min="8" max="9" width="12.5" style="0" customWidth="1"/>
    <col min="10" max="11" width="13.33203125" style="0" customWidth="1"/>
    <col min="12" max="12" width="11.5" style="0" customWidth="1"/>
    <col min="13" max="13" width="15.83203125" style="0" customWidth="1"/>
    <col min="14" max="14" width="16.66015625" style="0" customWidth="1"/>
    <col min="15" max="15" width="16.33203125" style="0" customWidth="1"/>
    <col min="16" max="16" width="13.16015625" style="0" bestFit="1" customWidth="1"/>
  </cols>
  <sheetData>
    <row r="1" spans="6:13" ht="9.75" customHeight="1">
      <c r="F1" s="1"/>
      <c r="M1" s="1"/>
    </row>
    <row r="2" spans="6:13" ht="9.75" customHeight="1">
      <c r="F2" s="1"/>
      <c r="M2" s="1"/>
    </row>
    <row r="3" spans="1:15" ht="47.25" customHeight="1">
      <c r="A3" s="1231" t="s">
        <v>732</v>
      </c>
      <c r="B3" s="1232"/>
      <c r="C3" s="829" t="s">
        <v>598</v>
      </c>
      <c r="D3" s="40" t="s">
        <v>1296</v>
      </c>
      <c r="E3" s="88" t="s">
        <v>1295</v>
      </c>
      <c r="F3" s="12" t="s">
        <v>1294</v>
      </c>
      <c r="G3" s="40" t="s">
        <v>648</v>
      </c>
      <c r="H3" s="12" t="s">
        <v>1297</v>
      </c>
      <c r="I3" s="40" t="s">
        <v>1293</v>
      </c>
      <c r="J3" s="12" t="s">
        <v>1298</v>
      </c>
      <c r="K3" s="40" t="s">
        <v>1299</v>
      </c>
      <c r="L3" s="12" t="s">
        <v>599</v>
      </c>
      <c r="M3" s="363" t="s">
        <v>600</v>
      </c>
      <c r="N3" s="364" t="s">
        <v>1300</v>
      </c>
      <c r="O3" s="23" t="s">
        <v>5</v>
      </c>
    </row>
    <row r="4" spans="1:16" ht="9.75" customHeight="1">
      <c r="A4" s="127" t="s">
        <v>376</v>
      </c>
      <c r="B4" s="128" t="s">
        <v>371</v>
      </c>
      <c r="C4" s="28">
        <f>'1 Příspěvek na vzdělávání'!E4</f>
        <v>28793301</v>
      </c>
      <c r="D4" s="66">
        <f>'2 Podpora vědy'!E5</f>
        <v>7225662</v>
      </c>
      <c r="E4" s="89">
        <f>'3 SVV'!C4</f>
        <v>875000</v>
      </c>
      <c r="F4" s="28">
        <f>'4.4. Nemovitosti'!L4</f>
        <v>244630</v>
      </c>
      <c r="G4" s="66">
        <f>'4.4. Nemovitosti'!M4</f>
        <v>148002.6104322406</v>
      </c>
      <c r="H4" s="28">
        <f>'4.5 Rozvoj'!G4</f>
        <v>0</v>
      </c>
      <c r="I4" s="66">
        <f>'4.5 Rozvoj'!H4</f>
        <v>0</v>
      </c>
      <c r="J4" s="28">
        <f>'4.6 RUK'!C4</f>
        <v>0</v>
      </c>
      <c r="K4" s="66">
        <f>'4.6 RUK'!D4</f>
        <v>0</v>
      </c>
      <c r="L4" s="28">
        <f>'5 Koheze'!J4+'5 Koheze'!K4</f>
        <v>-4882.977250676779</v>
      </c>
      <c r="M4" s="365">
        <f>SUM(C4,F4,H4,J4,L4)</f>
        <v>29033048.022749323</v>
      </c>
      <c r="N4" s="366">
        <f>SUM(D4,G4,I4,K4)</f>
        <v>7373664.61043224</v>
      </c>
      <c r="O4" s="67">
        <f aca="true" t="shared" si="0" ref="O4:O21">SUM(C4:L4)</f>
        <v>37281712.63318156</v>
      </c>
      <c r="P4" s="293" t="s">
        <v>371</v>
      </c>
    </row>
    <row r="5" spans="1:16" ht="9.75" customHeight="1">
      <c r="A5" s="13" t="s">
        <v>377</v>
      </c>
      <c r="B5" s="27" t="s">
        <v>68</v>
      </c>
      <c r="C5" s="28">
        <f>'1 Příspěvek na vzdělávání'!E5</f>
        <v>21388244</v>
      </c>
      <c r="D5" s="66">
        <f>'2 Podpora vědy'!E6</f>
        <v>6890815</v>
      </c>
      <c r="E5" s="89">
        <f>'3 SVV'!C5</f>
        <v>1264500</v>
      </c>
      <c r="F5" s="28">
        <f>'4.4. Nemovitosti'!L5</f>
        <v>471100</v>
      </c>
      <c r="G5" s="66">
        <f>'4.4. Nemovitosti'!M5</f>
        <v>285017.7620565572</v>
      </c>
      <c r="H5" s="28">
        <f>'4.5 Rozvoj'!G5</f>
        <v>0</v>
      </c>
      <c r="I5" s="66">
        <f>'4.5 Rozvoj'!H5</f>
        <v>0</v>
      </c>
      <c r="J5" s="28">
        <f>'4.6 RUK'!C5</f>
        <v>0</v>
      </c>
      <c r="K5" s="66">
        <f>'4.6 RUK'!D5</f>
        <v>0</v>
      </c>
      <c r="L5" s="28">
        <f>'5 Koheze'!J5+'5 Koheze'!K5</f>
        <v>1371799.3979434446</v>
      </c>
      <c r="M5" s="365">
        <f aca="true" t="shared" si="1" ref="M5:M21">SUM(C5,F5,H5,J5,L5)</f>
        <v>23231143.397943445</v>
      </c>
      <c r="N5" s="366">
        <f aca="true" t="shared" si="2" ref="N5:N21">SUM(D5,G5,I5,K5)</f>
        <v>7175832.762056557</v>
      </c>
      <c r="O5" s="67">
        <f t="shared" si="0"/>
        <v>31671476.16</v>
      </c>
      <c r="P5" s="293" t="s">
        <v>68</v>
      </c>
    </row>
    <row r="6" spans="1:16" ht="9.75" customHeight="1">
      <c r="A6" s="13" t="s">
        <v>378</v>
      </c>
      <c r="B6" s="27" t="s">
        <v>372</v>
      </c>
      <c r="C6" s="28">
        <f>'1 Příspěvek na vzdělávání'!E6</f>
        <v>35498715</v>
      </c>
      <c r="D6" s="66">
        <f>'2 Podpora vědy'!E7</f>
        <v>3948983</v>
      </c>
      <c r="E6" s="89">
        <f>'3 SVV'!C6</f>
        <v>694000</v>
      </c>
      <c r="F6" s="28">
        <f>'4.4. Nemovitosti'!L6</f>
        <v>471201</v>
      </c>
      <c r="G6" s="66">
        <f>'4.4. Nemovitosti'!M6</f>
        <v>285079.28367003356</v>
      </c>
      <c r="H6" s="28">
        <f>'4.5 Rozvoj'!G6</f>
        <v>0</v>
      </c>
      <c r="I6" s="66">
        <f>'4.5 Rozvoj'!H6</f>
        <v>0</v>
      </c>
      <c r="J6" s="28">
        <f>'4.6 RUK'!C6</f>
        <v>0</v>
      </c>
      <c r="K6" s="66">
        <f>'4.6 RUK'!D6</f>
        <v>0</v>
      </c>
      <c r="L6" s="28">
        <f>'5 Koheze'!J6+'5 Koheze'!K6</f>
        <v>-4970.863443064411</v>
      </c>
      <c r="M6" s="365">
        <f t="shared" si="1"/>
        <v>35964945.13655694</v>
      </c>
      <c r="N6" s="366">
        <f t="shared" si="2"/>
        <v>4234062.283670033</v>
      </c>
      <c r="O6" s="67">
        <f t="shared" si="0"/>
        <v>40893007.42022697</v>
      </c>
      <c r="P6" s="293" t="s">
        <v>372</v>
      </c>
    </row>
    <row r="7" spans="1:16" ht="9.75" customHeight="1">
      <c r="A7" s="13" t="s">
        <v>379</v>
      </c>
      <c r="B7" s="27" t="s">
        <v>42</v>
      </c>
      <c r="C7" s="28">
        <f>'1 Příspěvek na vzdělávání'!E7</f>
        <v>155660384</v>
      </c>
      <c r="D7" s="66">
        <f>'2 Podpora vědy'!E8</f>
        <v>27428142</v>
      </c>
      <c r="E7" s="89">
        <f>'3 SVV'!C7</f>
        <v>4175000</v>
      </c>
      <c r="F7" s="28">
        <f>'4.4. Nemovitosti'!L7</f>
        <v>2319119</v>
      </c>
      <c r="G7" s="66">
        <f>'4.4. Nemovitosti'!M7</f>
        <v>1403081.31003144</v>
      </c>
      <c r="H7" s="28">
        <f>'4.5 Rozvoj'!G7</f>
        <v>0</v>
      </c>
      <c r="I7" s="66">
        <f>'4.5 Rozvoj'!H7</f>
        <v>0</v>
      </c>
      <c r="J7" s="28">
        <f>'4.6 RUK'!C7</f>
        <v>0</v>
      </c>
      <c r="K7" s="66">
        <f>'4.6 RUK'!D7</f>
        <v>0</v>
      </c>
      <c r="L7" s="28">
        <f>'5 Koheze'!J7+'5 Koheze'!K7</f>
        <v>-17893.49497629392</v>
      </c>
      <c r="M7" s="365">
        <f t="shared" si="1"/>
        <v>157961609.50502372</v>
      </c>
      <c r="N7" s="366">
        <f t="shared" si="2"/>
        <v>28831223.31003144</v>
      </c>
      <c r="O7" s="67">
        <f t="shared" si="0"/>
        <v>190967832.81505516</v>
      </c>
      <c r="P7" s="293" t="s">
        <v>42</v>
      </c>
    </row>
    <row r="8" spans="1:16" ht="9.75" customHeight="1">
      <c r="A8" s="13" t="s">
        <v>380</v>
      </c>
      <c r="B8" s="27" t="s">
        <v>8</v>
      </c>
      <c r="C8" s="28">
        <f>'1 Příspěvek na vzdělávání'!E8</f>
        <v>430649600</v>
      </c>
      <c r="D8" s="66">
        <f>'2 Podpora vědy'!E9</f>
        <v>135991117</v>
      </c>
      <c r="E8" s="89">
        <f>'3 SVV'!C8</f>
        <v>15499000</v>
      </c>
      <c r="F8" s="28">
        <f>'4.4. Nemovitosti'!L8</f>
        <v>8500480</v>
      </c>
      <c r="G8" s="66">
        <f>'4.4. Nemovitosti'!M8</f>
        <v>5142844.801520407</v>
      </c>
      <c r="H8" s="28">
        <f>'4.5 Rozvoj'!G8</f>
        <v>4422685</v>
      </c>
      <c r="I8" s="66">
        <f>'4.5 Rozvoj'!H8</f>
        <v>2120315</v>
      </c>
      <c r="J8" s="28">
        <f>'4.6 RUK'!C8</f>
        <v>0</v>
      </c>
      <c r="K8" s="66">
        <f>'4.6 RUK'!D8</f>
        <v>0</v>
      </c>
      <c r="L8" s="28">
        <f>'5 Koheze'!J8+'5 Koheze'!K8</f>
        <v>-151923.35409838453</v>
      </c>
      <c r="M8" s="365">
        <f t="shared" si="1"/>
        <v>443420841.6459016</v>
      </c>
      <c r="N8" s="366">
        <f t="shared" si="2"/>
        <v>143254276.8015204</v>
      </c>
      <c r="O8" s="67">
        <f t="shared" si="0"/>
        <v>602174118.4474219</v>
      </c>
      <c r="P8" s="293" t="s">
        <v>8</v>
      </c>
    </row>
    <row r="9" spans="1:16" ht="9.75" customHeight="1">
      <c r="A9" s="13" t="s">
        <v>381</v>
      </c>
      <c r="B9" s="27" t="s">
        <v>22</v>
      </c>
      <c r="C9" s="28">
        <f>'1 Příspěvek na vzdělávání'!E9</f>
        <v>158554909</v>
      </c>
      <c r="D9" s="66">
        <f>'2 Podpora vědy'!E10</f>
        <v>59479061</v>
      </c>
      <c r="E9" s="89">
        <f>'3 SVV'!C9</f>
        <v>7296000</v>
      </c>
      <c r="F9" s="28">
        <f>'4.4. Nemovitosti'!L9</f>
        <v>1409573</v>
      </c>
      <c r="G9" s="66">
        <f>'4.4. Nemovitosti'!M9</f>
        <v>852800.5464703543</v>
      </c>
      <c r="H9" s="28">
        <f>'4.5 Rozvoj'!G9</f>
        <v>138029</v>
      </c>
      <c r="I9" s="66">
        <f>'4.5 Rozvoj'!H9</f>
        <v>66174</v>
      </c>
      <c r="J9" s="28">
        <f>'4.6 RUK'!C9</f>
        <v>0</v>
      </c>
      <c r="K9" s="66">
        <f>'4.6 RUK'!D9</f>
        <v>0</v>
      </c>
      <c r="L9" s="28">
        <f>'5 Koheze'!J9+'5 Koheze'!K9</f>
        <v>-76007.59789932938</v>
      </c>
      <c r="M9" s="365">
        <f t="shared" si="1"/>
        <v>160026503.40210068</v>
      </c>
      <c r="N9" s="366">
        <f t="shared" si="2"/>
        <v>60398035.54647035</v>
      </c>
      <c r="O9" s="67">
        <f t="shared" si="0"/>
        <v>227720538.94857103</v>
      </c>
      <c r="P9" s="293" t="s">
        <v>22</v>
      </c>
    </row>
    <row r="10" spans="1:16" ht="9.75" customHeight="1">
      <c r="A10" s="13" t="s">
        <v>382</v>
      </c>
      <c r="B10" s="27" t="s">
        <v>21</v>
      </c>
      <c r="C10" s="28">
        <f>'1 Příspěvek na vzdělávání'!E10</f>
        <v>176156044</v>
      </c>
      <c r="D10" s="66">
        <f>'2 Podpora vědy'!E11</f>
        <v>66166792</v>
      </c>
      <c r="E10" s="89">
        <f>'3 SVV'!C10</f>
        <v>6010000</v>
      </c>
      <c r="F10" s="28">
        <f>'4.4. Nemovitosti'!L10</f>
        <v>1298867</v>
      </c>
      <c r="G10" s="66">
        <f>'4.4. Nemovitosti'!M10</f>
        <v>785823.4739661755</v>
      </c>
      <c r="H10" s="28">
        <f>'4.5 Rozvoj'!G10</f>
        <v>0</v>
      </c>
      <c r="I10" s="66">
        <f>'4.5 Rozvoj'!H10</f>
        <v>0</v>
      </c>
      <c r="J10" s="28">
        <f>'4.6 RUK'!C10</f>
        <v>0</v>
      </c>
      <c r="K10" s="66">
        <f>'4.6 RUK'!D10</f>
        <v>0</v>
      </c>
      <c r="L10" s="28">
        <f>'5 Koheze'!J10+'5 Koheze'!K10</f>
        <v>-67630.40771128825</v>
      </c>
      <c r="M10" s="365">
        <f t="shared" si="1"/>
        <v>177387280.5922887</v>
      </c>
      <c r="N10" s="366">
        <f t="shared" si="2"/>
        <v>66952615.473966174</v>
      </c>
      <c r="O10" s="67">
        <f t="shared" si="0"/>
        <v>250349896.06625488</v>
      </c>
      <c r="P10" s="293" t="s">
        <v>21</v>
      </c>
    </row>
    <row r="11" spans="1:16" ht="9.75" customHeight="1">
      <c r="A11" s="13" t="s">
        <v>383</v>
      </c>
      <c r="B11" s="27" t="s">
        <v>23</v>
      </c>
      <c r="C11" s="28">
        <f>'1 Příspěvek na vzdělávání'!E11</f>
        <v>178105993</v>
      </c>
      <c r="D11" s="66">
        <f>'2 Podpora vědy'!E12</f>
        <v>31283036</v>
      </c>
      <c r="E11" s="89">
        <f>'3 SVV'!C11</f>
        <v>3998000</v>
      </c>
      <c r="F11" s="28">
        <f>'4.4. Nemovitosti'!L11</f>
        <v>2915458</v>
      </c>
      <c r="G11" s="66">
        <f>'4.4. Nemovitosti'!M11</f>
        <v>1763871.3726995308</v>
      </c>
      <c r="H11" s="28">
        <f>'4.5 Rozvoj'!G11</f>
        <v>11126888</v>
      </c>
      <c r="I11" s="66">
        <f>'4.5 Rozvoj'!H11</f>
        <v>5334432</v>
      </c>
      <c r="J11" s="28">
        <f>'4.6 RUK'!C11</f>
        <v>0</v>
      </c>
      <c r="K11" s="66">
        <f>'4.6 RUK'!D11</f>
        <v>0</v>
      </c>
      <c r="L11" s="28">
        <f>'5 Koheze'!J11+'5 Koheze'!K11</f>
        <v>-142745.06309150567</v>
      </c>
      <c r="M11" s="365">
        <f t="shared" si="1"/>
        <v>192005593.93690848</v>
      </c>
      <c r="N11" s="366">
        <f t="shared" si="2"/>
        <v>38381339.37269953</v>
      </c>
      <c r="O11" s="67">
        <f t="shared" si="0"/>
        <v>234384933.309608</v>
      </c>
      <c r="P11" s="293" t="s">
        <v>23</v>
      </c>
    </row>
    <row r="12" spans="1:16" ht="9.75" customHeight="1">
      <c r="A12" s="13" t="s">
        <v>384</v>
      </c>
      <c r="B12" s="27" t="s">
        <v>24</v>
      </c>
      <c r="C12" s="28">
        <f>'1 Příspěvek na vzdělávání'!E12</f>
        <v>153230106</v>
      </c>
      <c r="D12" s="66">
        <f>'2 Podpora vědy'!E13</f>
        <v>38921651</v>
      </c>
      <c r="E12" s="89">
        <f>'3 SVV'!C12</f>
        <v>4094000</v>
      </c>
      <c r="F12" s="28">
        <f>'4.4. Nemovitosti'!L12</f>
        <v>2584839</v>
      </c>
      <c r="G12" s="66">
        <f>'4.4. Nemovitosti'!M12</f>
        <v>1563844.919579986</v>
      </c>
      <c r="H12" s="28">
        <f>'4.5 Rozvoj'!G12</f>
        <v>2056831</v>
      </c>
      <c r="I12" s="66">
        <f>'4.5 Rozvoj'!H12</f>
        <v>986082</v>
      </c>
      <c r="J12" s="28">
        <f>'4.6 RUK'!C12</f>
        <v>0</v>
      </c>
      <c r="K12" s="66">
        <f>'4.6 RUK'!D12</f>
        <v>0</v>
      </c>
      <c r="L12" s="28">
        <f>'5 Koheze'!J12+'5 Koheze'!K12</f>
        <v>-54423.17334793023</v>
      </c>
      <c r="M12" s="365">
        <f t="shared" si="1"/>
        <v>157817352.82665208</v>
      </c>
      <c r="N12" s="366">
        <f t="shared" si="2"/>
        <v>41471577.91957998</v>
      </c>
      <c r="O12" s="67">
        <f t="shared" si="0"/>
        <v>203382930.74623206</v>
      </c>
      <c r="P12" s="293" t="s">
        <v>24</v>
      </c>
    </row>
    <row r="13" spans="1:16" ht="9.75" customHeight="1">
      <c r="A13" s="13" t="s">
        <v>385</v>
      </c>
      <c r="B13" s="27" t="s">
        <v>31</v>
      </c>
      <c r="C13" s="28">
        <f>'1 Příspěvek na vzdělávání'!E13</f>
        <v>132833070</v>
      </c>
      <c r="D13" s="66">
        <f>'2 Podpora vědy'!E14</f>
        <v>57101684</v>
      </c>
      <c r="E13" s="89">
        <f>'3 SVV'!C13</f>
        <v>4740185</v>
      </c>
      <c r="F13" s="28">
        <f>'4.4. Nemovitosti'!L13</f>
        <v>2834380</v>
      </c>
      <c r="G13" s="66">
        <f>'4.4. Nemovitosti'!M13</f>
        <v>1714817.737526522</v>
      </c>
      <c r="H13" s="28">
        <f>'4.5 Rozvoj'!G13</f>
        <v>1927200</v>
      </c>
      <c r="I13" s="66">
        <f>'4.5 Rozvoj'!H13</f>
        <v>923935</v>
      </c>
      <c r="J13" s="28">
        <f>'4.6 RUK'!C13</f>
        <v>0</v>
      </c>
      <c r="K13" s="66">
        <f>'4.6 RUK'!D13</f>
        <v>0</v>
      </c>
      <c r="L13" s="28">
        <f>'5 Koheze'!J13+'5 Koheze'!K13</f>
        <v>-64549.72813451564</v>
      </c>
      <c r="M13" s="365">
        <f t="shared" si="1"/>
        <v>137530100.2718655</v>
      </c>
      <c r="N13" s="366">
        <f t="shared" si="2"/>
        <v>59740436.73752652</v>
      </c>
      <c r="O13" s="67">
        <f t="shared" si="0"/>
        <v>202010722.00939202</v>
      </c>
      <c r="P13" s="293" t="s">
        <v>31</v>
      </c>
    </row>
    <row r="14" spans="1:16" ht="9.75" customHeight="1">
      <c r="A14" s="13" t="s">
        <v>386</v>
      </c>
      <c r="B14" s="27" t="s">
        <v>37</v>
      </c>
      <c r="C14" s="28">
        <f>'1 Příspěvek na vzdělávání'!E14</f>
        <v>284288955</v>
      </c>
      <c r="D14" s="66">
        <f>'2 Podpora vědy'!E15</f>
        <v>117375426</v>
      </c>
      <c r="E14" s="89">
        <f>'3 SVV'!C14</f>
        <v>13071000</v>
      </c>
      <c r="F14" s="28">
        <f>'4.4. Nemovitosti'!L14</f>
        <v>3464132</v>
      </c>
      <c r="G14" s="66">
        <f>'4.4. Nemovitosti'!M14</f>
        <v>2095821.813417459</v>
      </c>
      <c r="H14" s="28">
        <f>'4.5 Rozvoj'!G14</f>
        <v>1407578</v>
      </c>
      <c r="I14" s="66">
        <f>'4.5 Rozvoj'!H14</f>
        <v>674818</v>
      </c>
      <c r="J14" s="28">
        <f>'4.6 RUK'!C14</f>
        <v>0</v>
      </c>
      <c r="K14" s="66">
        <f>'4.6 RUK'!D14</f>
        <v>0</v>
      </c>
      <c r="L14" s="28">
        <f>'5 Koheze'!J14+'5 Koheze'!K14</f>
        <v>-84955.09357706159</v>
      </c>
      <c r="M14" s="365">
        <f t="shared" si="1"/>
        <v>289075709.9064229</v>
      </c>
      <c r="N14" s="366">
        <f t="shared" si="2"/>
        <v>120146065.81341746</v>
      </c>
      <c r="O14" s="67">
        <f t="shared" si="0"/>
        <v>422292775.71984035</v>
      </c>
      <c r="P14" s="293" t="s">
        <v>37</v>
      </c>
    </row>
    <row r="15" spans="1:16" ht="9.75" customHeight="1">
      <c r="A15" s="13" t="s">
        <v>387</v>
      </c>
      <c r="B15" s="27" t="s">
        <v>72</v>
      </c>
      <c r="C15" s="28">
        <f>'1 Příspěvek na vzdělávání'!E15</f>
        <v>418650471</v>
      </c>
      <c r="D15" s="66">
        <f>'2 Podpora vědy'!E16</f>
        <v>305663682</v>
      </c>
      <c r="E15" s="89">
        <f>'3 SVV'!C15</f>
        <v>27150000</v>
      </c>
      <c r="F15" s="28">
        <f>'4.4. Nemovitosti'!L15</f>
        <v>7272075</v>
      </c>
      <c r="G15" s="66">
        <f>'4.4. Nemovitosti'!M15</f>
        <v>4399652.748482633</v>
      </c>
      <c r="H15" s="28">
        <f>'4.5 Rozvoj'!G15</f>
        <v>9229440</v>
      </c>
      <c r="I15" s="66">
        <f>'4.5 Rozvoj'!H15</f>
        <v>4424761</v>
      </c>
      <c r="J15" s="28">
        <f>'4.6 RUK'!C15</f>
        <v>0</v>
      </c>
      <c r="K15" s="66">
        <f>'4.6 RUK'!D15</f>
        <v>0</v>
      </c>
      <c r="L15" s="28">
        <f>'5 Koheze'!J15+'5 Koheze'!K15</f>
        <v>-257270.79870108113</v>
      </c>
      <c r="M15" s="365">
        <f t="shared" si="1"/>
        <v>434894715.2012989</v>
      </c>
      <c r="N15" s="366">
        <f t="shared" si="2"/>
        <v>314488095.74848264</v>
      </c>
      <c r="O15" s="67">
        <f t="shared" si="0"/>
        <v>776532810.9497815</v>
      </c>
      <c r="P15" s="293" t="s">
        <v>72</v>
      </c>
    </row>
    <row r="16" spans="1:16" ht="9.75" customHeight="1">
      <c r="A16" s="13" t="s">
        <v>388</v>
      </c>
      <c r="B16" s="27" t="s">
        <v>81</v>
      </c>
      <c r="C16" s="28">
        <f>'1 Příspěvek na vzdělávání'!E16</f>
        <v>268357807</v>
      </c>
      <c r="D16" s="66">
        <f>'2 Podpora vědy'!E17</f>
        <v>373340804</v>
      </c>
      <c r="E16" s="89">
        <f>'3 SVV'!C16</f>
        <v>18000021</v>
      </c>
      <c r="F16" s="28">
        <f>'4.4. Nemovitosti'!L16</f>
        <v>7212327</v>
      </c>
      <c r="G16" s="66">
        <f>'4.4. Nemovitosti'!M16</f>
        <v>4363504.462380821</v>
      </c>
      <c r="H16" s="28">
        <f>'4.5 Rozvoj'!G16</f>
        <v>7305803</v>
      </c>
      <c r="I16" s="66">
        <f>'4.5 Rozvoj'!H16</f>
        <v>3502534</v>
      </c>
      <c r="J16" s="28">
        <f>'4.6 RUK'!C16</f>
        <v>0</v>
      </c>
      <c r="K16" s="66">
        <f>'4.6 RUK'!D16</f>
        <v>0</v>
      </c>
      <c r="L16" s="28">
        <f>'5 Koheze'!J16+'5 Koheze'!K16</f>
        <v>-232530.91819240164</v>
      </c>
      <c r="M16" s="365">
        <f t="shared" si="1"/>
        <v>282643406.0818076</v>
      </c>
      <c r="N16" s="366">
        <f t="shared" si="2"/>
        <v>381206842.4623808</v>
      </c>
      <c r="O16" s="67">
        <f t="shared" si="0"/>
        <v>681850269.5441884</v>
      </c>
      <c r="P16" s="293" t="s">
        <v>81</v>
      </c>
    </row>
    <row r="17" spans="1:16" ht="9.75" customHeight="1">
      <c r="A17" s="13" t="s">
        <v>389</v>
      </c>
      <c r="B17" s="27" t="s">
        <v>87</v>
      </c>
      <c r="C17" s="28">
        <f>'1 Příspěvek na vzdělávání'!E17</f>
        <v>195951310</v>
      </c>
      <c r="D17" s="66">
        <f>'2 Podpora vědy'!E18</f>
        <v>25856376</v>
      </c>
      <c r="E17" s="89">
        <f>'3 SVV'!C17</f>
        <v>3442000</v>
      </c>
      <c r="F17" s="28">
        <f>'4.4. Nemovitosti'!L17</f>
        <v>2106071</v>
      </c>
      <c r="G17" s="66">
        <f>'4.4. Nemovitosti'!M17</f>
        <v>1274186.885489889</v>
      </c>
      <c r="H17" s="28">
        <f>'4.5 Rozvoj'!G17</f>
        <v>0</v>
      </c>
      <c r="I17" s="66">
        <f>'4.5 Rozvoj'!H17</f>
        <v>0</v>
      </c>
      <c r="J17" s="28">
        <f>'4.6 RUK'!C17</f>
        <v>0</v>
      </c>
      <c r="K17" s="66">
        <f>'4.6 RUK'!D17</f>
        <v>0</v>
      </c>
      <c r="L17" s="28">
        <f>'5 Koheze'!J17+'5 Koheze'!K17</f>
        <v>-30155.151022223024</v>
      </c>
      <c r="M17" s="365">
        <f t="shared" si="1"/>
        <v>198027225.84897777</v>
      </c>
      <c r="N17" s="366">
        <f t="shared" si="2"/>
        <v>27130562.88548989</v>
      </c>
      <c r="O17" s="67">
        <f t="shared" si="0"/>
        <v>228599788.73446766</v>
      </c>
      <c r="P17" s="293" t="s">
        <v>87</v>
      </c>
    </row>
    <row r="18" spans="1:16" ht="9.75" customHeight="1">
      <c r="A18" s="13" t="s">
        <v>390</v>
      </c>
      <c r="B18" s="41" t="s">
        <v>45</v>
      </c>
      <c r="C18" s="28">
        <f>'1 Příspěvek na vzdělávání'!E18</f>
        <v>214897655</v>
      </c>
      <c r="D18" s="66">
        <f>'2 Podpora vědy'!E19</f>
        <v>47080743</v>
      </c>
      <c r="E18" s="89">
        <f>'3 SVV'!C18</f>
        <v>6198000</v>
      </c>
      <c r="F18" s="28">
        <f>'4.4. Nemovitosti'!L18</f>
        <v>1946470</v>
      </c>
      <c r="G18" s="66">
        <f>'4.4. Nemovitosti'!M18</f>
        <v>1177626.5454228842</v>
      </c>
      <c r="H18" s="28">
        <f>'4.5 Rozvoj'!G18</f>
        <v>3774128</v>
      </c>
      <c r="I18" s="66">
        <f>'4.5 Rozvoj'!H18</f>
        <v>1809386</v>
      </c>
      <c r="J18" s="28">
        <f>'4.6 RUK'!C18</f>
        <v>0</v>
      </c>
      <c r="K18" s="66">
        <f>'4.6 RUK'!D18</f>
        <v>0</v>
      </c>
      <c r="L18" s="28">
        <f>'5 Koheze'!J18+'5 Koheze'!K18</f>
        <v>-131986.4421889789</v>
      </c>
      <c r="M18" s="365">
        <f t="shared" si="1"/>
        <v>220486266.55781102</v>
      </c>
      <c r="N18" s="366">
        <f t="shared" si="2"/>
        <v>50067755.54542288</v>
      </c>
      <c r="O18" s="67">
        <f t="shared" si="0"/>
        <v>276752022.10323393</v>
      </c>
      <c r="P18" s="293" t="s">
        <v>45</v>
      </c>
    </row>
    <row r="19" spans="1:16" ht="9.75" customHeight="1">
      <c r="A19" s="13" t="s">
        <v>391</v>
      </c>
      <c r="B19" s="27" t="s">
        <v>94</v>
      </c>
      <c r="C19" s="28">
        <f>'1 Příspěvek na vzdělávání'!E19</f>
        <v>114551055</v>
      </c>
      <c r="D19" s="66">
        <f>'2 Podpora vědy'!E20</f>
        <v>10592282</v>
      </c>
      <c r="E19" s="89">
        <f>'3 SVV'!C19</f>
        <v>1843000</v>
      </c>
      <c r="F19" s="28">
        <f>'4.4. Nemovitosti'!L19</f>
        <v>5036975</v>
      </c>
      <c r="G19" s="66">
        <f>'4.4. Nemovitosti'!M19</f>
        <v>3047402.9705315884</v>
      </c>
      <c r="H19" s="28">
        <f>'4.5 Rozvoj'!G19</f>
        <v>4653860</v>
      </c>
      <c r="I19" s="66">
        <f>'4.5 Rozvoj'!H19</f>
        <v>2231145</v>
      </c>
      <c r="J19" s="28">
        <f>'4.6 RUK'!C19</f>
        <v>0</v>
      </c>
      <c r="K19" s="66">
        <f>'4.6 RUK'!D19</f>
        <v>0</v>
      </c>
      <c r="L19" s="28">
        <f>'5 Koheze'!J19+'5 Koheze'!K19</f>
        <v>-12757.283097170244</v>
      </c>
      <c r="M19" s="365">
        <f t="shared" si="1"/>
        <v>124229132.71690284</v>
      </c>
      <c r="N19" s="366">
        <f t="shared" si="2"/>
        <v>15870829.970531588</v>
      </c>
      <c r="O19" s="67">
        <f t="shared" si="0"/>
        <v>141942962.6874344</v>
      </c>
      <c r="P19" s="293" t="s">
        <v>94</v>
      </c>
    </row>
    <row r="20" spans="1:16" ht="9.75" customHeight="1">
      <c r="A20" s="13" t="s">
        <v>392</v>
      </c>
      <c r="B20" s="27" t="s">
        <v>58</v>
      </c>
      <c r="C20" s="28">
        <f>'1 Příspěvek na vzdělávání'!E20</f>
        <v>97606202</v>
      </c>
      <c r="D20" s="66">
        <f>'2 Podpora vědy'!E21</f>
        <v>24514064</v>
      </c>
      <c r="E20" s="89">
        <f>'3 SVV'!C20</f>
        <v>3264000</v>
      </c>
      <c r="F20" s="28">
        <f>'4.4. Nemovitosti'!L20</f>
        <v>1210674</v>
      </c>
      <c r="G20" s="66">
        <f>'4.4. Nemovitosti'!M20</f>
        <v>732465.4239712979</v>
      </c>
      <c r="H20" s="28">
        <f>'4.5 Rozvoj'!G20</f>
        <v>3294447</v>
      </c>
      <c r="I20" s="66">
        <f>'4.5 Rozvoj'!H20</f>
        <v>1579418</v>
      </c>
      <c r="J20" s="28">
        <f>'4.6 RUK'!C20</f>
        <v>0</v>
      </c>
      <c r="K20" s="66">
        <f>'4.6 RUK'!D20</f>
        <v>0</v>
      </c>
      <c r="L20" s="28">
        <f>'5 Koheze'!J20+'5 Koheze'!K20</f>
        <v>-37117.05121153917</v>
      </c>
      <c r="M20" s="365">
        <f t="shared" si="1"/>
        <v>102074205.94878846</v>
      </c>
      <c r="N20" s="366">
        <f t="shared" si="2"/>
        <v>26825947.4239713</v>
      </c>
      <c r="O20" s="67">
        <f t="shared" si="0"/>
        <v>132164153.37275976</v>
      </c>
      <c r="P20" s="293" t="s">
        <v>58</v>
      </c>
    </row>
    <row r="21" spans="1:16" ht="9.75" customHeight="1">
      <c r="A21" s="29" t="s">
        <v>393</v>
      </c>
      <c r="B21" s="78" t="s">
        <v>373</v>
      </c>
      <c r="C21" s="28">
        <f>'1 Příspěvek na vzdělávání'!E21</f>
        <v>9867269.450970173</v>
      </c>
      <c r="D21" s="66">
        <f>'2 Podpora vědy'!E22</f>
        <v>5788883</v>
      </c>
      <c r="E21" s="89">
        <f>'3 SVV'!C21</f>
        <v>1092000</v>
      </c>
      <c r="F21" s="28">
        <f>'4.4. Nemovitosti'!L21</f>
        <v>44817.256</v>
      </c>
      <c r="G21" s="66">
        <f>'4.4. Nemovitosti'!M21</f>
        <v>27116.300729507428</v>
      </c>
      <c r="H21" s="28">
        <f>'4.5 Rozvoj'!G21</f>
        <v>0</v>
      </c>
      <c r="I21" s="66">
        <f>'4.5 Rozvoj'!H21</f>
        <v>0</v>
      </c>
      <c r="J21" s="28">
        <f>'4.6 RUK'!C21</f>
        <v>0</v>
      </c>
      <c r="K21" s="66">
        <f>'4.6 RUK'!D21</f>
        <v>2230933</v>
      </c>
      <c r="L21" s="28">
        <f>'5 Koheze'!J21+'5 Koheze'!K21</f>
        <v>0</v>
      </c>
      <c r="M21" s="365">
        <f t="shared" si="1"/>
        <v>9912086.706970172</v>
      </c>
      <c r="N21" s="366">
        <f t="shared" si="2"/>
        <v>8046932.300729508</v>
      </c>
      <c r="O21" s="67">
        <f t="shared" si="0"/>
        <v>19051019.00769968</v>
      </c>
      <c r="P21" s="293" t="s">
        <v>373</v>
      </c>
    </row>
    <row r="22" spans="1:16" ht="9.75" customHeight="1">
      <c r="A22" s="49" t="s">
        <v>421</v>
      </c>
      <c r="B22" s="50"/>
      <c r="C22" s="24">
        <f>'1 Příspěvek na vzdělávání'!E22</f>
        <v>3075041090.45097</v>
      </c>
      <c r="D22" s="43">
        <f>'2 Podpora vědy'!E23</f>
        <v>1344649203</v>
      </c>
      <c r="E22" s="90">
        <f>SUM(E4:E21)</f>
        <v>122705706</v>
      </c>
      <c r="F22" s="24">
        <f>SUM(F4:F21)</f>
        <v>51343188.256</v>
      </c>
      <c r="G22" s="43">
        <f>SUM(G4:G21)</f>
        <v>31062960.968379322</v>
      </c>
      <c r="H22" s="24">
        <f>SUM(H4:H21)</f>
        <v>49336889</v>
      </c>
      <c r="I22" s="43">
        <f>SUM(I4:I21)</f>
        <v>23653000</v>
      </c>
      <c r="J22" s="24">
        <f>'4.6 RUK'!C22</f>
        <v>0</v>
      </c>
      <c r="K22" s="43">
        <f>'4.6 RUK'!D22</f>
        <v>2230933</v>
      </c>
      <c r="L22" s="24">
        <f>'5 Koheze'!J22+'5 Koheze'!K22</f>
        <v>0</v>
      </c>
      <c r="M22" s="24">
        <f>SUM(M4:M21)</f>
        <v>3175721167.70697</v>
      </c>
      <c r="N22" s="43">
        <f>SUM(N4:N21)</f>
        <v>1401596096.9683795</v>
      </c>
      <c r="O22" s="79">
        <f>SUM(O4:O21)</f>
        <v>4700022970.675349</v>
      </c>
      <c r="P22" s="390"/>
    </row>
    <row r="23" spans="1:16" ht="3.75" customHeight="1">
      <c r="A23" s="30"/>
      <c r="B23" s="31"/>
      <c r="C23" s="91"/>
      <c r="D23" s="91"/>
      <c r="E23" s="91"/>
      <c r="F23" s="92"/>
      <c r="G23" s="91"/>
      <c r="H23" s="92"/>
      <c r="I23" s="91"/>
      <c r="J23" s="92"/>
      <c r="K23" s="91"/>
      <c r="L23" s="92"/>
      <c r="M23" s="367"/>
      <c r="N23" s="367"/>
      <c r="O23" s="93"/>
      <c r="P23" s="390"/>
    </row>
    <row r="24" spans="1:16" ht="9.75" customHeight="1">
      <c r="A24" s="112" t="s">
        <v>401</v>
      </c>
      <c r="B24" s="113" t="s">
        <v>402</v>
      </c>
      <c r="C24" s="516">
        <f>'1 Příspěvek na vzdělávání'!E24</f>
        <v>0</v>
      </c>
      <c r="D24" s="517">
        <f>'2 Podpora vědy'!E25</f>
        <v>0</v>
      </c>
      <c r="E24" s="520">
        <f>'3 SVV'!C24</f>
        <v>0</v>
      </c>
      <c r="F24" s="516">
        <f>'4.4. Nemovitosti'!L24+'4.5 Rozvoj'!G24</f>
        <v>0</v>
      </c>
      <c r="G24" s="517">
        <f>'4.4. Nemovitosti'!M24</f>
        <v>0</v>
      </c>
      <c r="H24" s="516">
        <f>'4.5 Rozvoj'!G24</f>
        <v>0</v>
      </c>
      <c r="I24" s="517">
        <f>'4.5 Rozvoj'!H24</f>
        <v>0</v>
      </c>
      <c r="J24" s="516">
        <f>'4.6 RUK'!C24</f>
        <v>0</v>
      </c>
      <c r="K24" s="517">
        <f>'4.6 RUK'!D24</f>
        <v>0</v>
      </c>
      <c r="L24" s="516">
        <f>'5 Koheze'!J24+'5 Koheze'!K24</f>
        <v>0</v>
      </c>
      <c r="M24" s="521">
        <f>C24+F24+J24+L24</f>
        <v>0</v>
      </c>
      <c r="N24" s="522">
        <f aca="true" t="shared" si="3" ref="N24:N36">D24+G24+K24</f>
        <v>0</v>
      </c>
      <c r="O24" s="523">
        <f aca="true" t="shared" si="4" ref="O24:O36">SUM(C24:L24)</f>
        <v>0</v>
      </c>
      <c r="P24" s="293" t="s">
        <v>402</v>
      </c>
    </row>
    <row r="25" spans="1:16" ht="9.75" customHeight="1">
      <c r="A25" s="292" t="s">
        <v>403</v>
      </c>
      <c r="B25" s="175" t="s">
        <v>419</v>
      </c>
      <c r="C25" s="530">
        <f>'1 Příspěvek na vzdělávání'!E25</f>
        <v>0</v>
      </c>
      <c r="D25" s="531">
        <f>'2 Podpora vědy'!E26</f>
        <v>17387048</v>
      </c>
      <c r="E25" s="532">
        <f>'3 SVV'!C25</f>
        <v>0</v>
      </c>
      <c r="F25" s="530">
        <f>'4.4. Nemovitosti'!L25</f>
        <v>3495858.708674278</v>
      </c>
      <c r="G25" s="531">
        <f>'4.4. Nemovitosti'!M25</f>
        <v>60039.0316010062</v>
      </c>
      <c r="H25" s="530">
        <f>'4.5 Rozvoj'!G25</f>
        <v>3010111</v>
      </c>
      <c r="I25" s="531">
        <f>'4.5 Rozvoj'!H25</f>
        <v>0</v>
      </c>
      <c r="J25" s="530">
        <f>'4.6 RUK'!C25</f>
        <v>176481398</v>
      </c>
      <c r="K25" s="531">
        <f>'4.6 RUK'!D25</f>
        <v>112310560</v>
      </c>
      <c r="L25" s="530">
        <f>'5 Koheze'!J25+'5 Koheze'!K25</f>
        <v>0</v>
      </c>
      <c r="M25" s="712">
        <f>SUM(C25,F25,H25,J25,L25)</f>
        <v>182987367.70867428</v>
      </c>
      <c r="N25" s="534">
        <f t="shared" si="3"/>
        <v>129757647.03160101</v>
      </c>
      <c r="O25" s="535">
        <f t="shared" si="4"/>
        <v>312745014.74027526</v>
      </c>
      <c r="P25" s="293"/>
    </row>
    <row r="26" spans="1:16" ht="9.75" customHeight="1">
      <c r="A26" s="528" t="s">
        <v>405</v>
      </c>
      <c r="B26" s="529" t="s">
        <v>406</v>
      </c>
      <c r="C26" s="700">
        <f>'1 Příspěvek na vzdělávání'!E26</f>
        <v>0</v>
      </c>
      <c r="D26" s="703">
        <f>'2 Podpora vědy'!E27</f>
        <v>0</v>
      </c>
      <c r="E26" s="706"/>
      <c r="F26" s="709">
        <f>'4.4. Nemovitosti'!L26</f>
        <v>3495858.708674278</v>
      </c>
      <c r="G26" s="703">
        <f>'4.4. Nemovitosti'!M26</f>
        <v>0</v>
      </c>
      <c r="H26" s="709">
        <f>'4.5 Rozvoj'!G26</f>
        <v>0</v>
      </c>
      <c r="I26" s="703">
        <f>'4.5 Rozvoj'!H26</f>
        <v>0</v>
      </c>
      <c r="J26" s="709">
        <f>'4.6 RUK'!C26</f>
        <v>100124672</v>
      </c>
      <c r="K26" s="1114">
        <f>'4.6 RUK'!D26</f>
        <v>75826923</v>
      </c>
      <c r="L26" s="709">
        <f>'5 Koheze'!J26+'5 Koheze'!K26</f>
        <v>0</v>
      </c>
      <c r="M26" s="712">
        <f>SUM(C26,F26,H26,J26,L26)</f>
        <v>103620530.70867428</v>
      </c>
      <c r="N26" s="716">
        <f t="shared" si="3"/>
        <v>75826923</v>
      </c>
      <c r="O26" s="713">
        <f t="shared" si="4"/>
        <v>179447453.70867428</v>
      </c>
      <c r="P26" s="611" t="s">
        <v>406</v>
      </c>
    </row>
    <row r="27" spans="1:16" s="6" customFormat="1" ht="9" customHeight="1">
      <c r="A27" s="84"/>
      <c r="B27" s="56" t="s">
        <v>407</v>
      </c>
      <c r="C27" s="701">
        <f>'1 Příspěvek na vzdělávání'!E27</f>
        <v>0</v>
      </c>
      <c r="D27" s="704">
        <f>'2 Podpora vědy'!E28</f>
        <v>7369441</v>
      </c>
      <c r="E27" s="707"/>
      <c r="F27" s="710">
        <f>'4.4. Nemovitosti'!L27</f>
        <v>0</v>
      </c>
      <c r="G27" s="704">
        <f>'4.4. Nemovitosti'!M27</f>
        <v>0</v>
      </c>
      <c r="H27" s="710">
        <f>'4.5 Rozvoj'!G27</f>
        <v>0</v>
      </c>
      <c r="I27" s="704">
        <f>'4.5 Rozvoj'!H27</f>
        <v>0</v>
      </c>
      <c r="J27" s="710">
        <f>'4.6 RUK'!C27</f>
        <v>0</v>
      </c>
      <c r="K27" s="1115">
        <f>'4.6 RUK'!D27</f>
        <v>2230933</v>
      </c>
      <c r="L27" s="710">
        <f>'5 Koheze'!J27+'5 Koheze'!K27</f>
        <v>0</v>
      </c>
      <c r="M27" s="1117">
        <f aca="true" t="shared" si="5" ref="M27:M36">SUM(C27,F27,H27,J27,L27)</f>
        <v>0</v>
      </c>
      <c r="N27" s="717">
        <f t="shared" si="3"/>
        <v>9600374</v>
      </c>
      <c r="O27" s="714">
        <f t="shared" si="4"/>
        <v>9600374</v>
      </c>
      <c r="P27" s="611" t="s">
        <v>407</v>
      </c>
    </row>
    <row r="28" spans="1:16" s="6" customFormat="1" ht="9" customHeight="1">
      <c r="A28" s="84"/>
      <c r="B28" s="56" t="s">
        <v>408</v>
      </c>
      <c r="C28" s="701">
        <f>'1 Příspěvek na vzdělávání'!E28</f>
        <v>0</v>
      </c>
      <c r="D28" s="704">
        <f>'2 Podpora vědy'!E29</f>
        <v>6905948</v>
      </c>
      <c r="E28" s="707"/>
      <c r="F28" s="710">
        <f>'4.4. Nemovitosti'!L28</f>
        <v>0</v>
      </c>
      <c r="G28" s="704">
        <f>'4.4. Nemovitosti'!M28</f>
        <v>60039.0316010062</v>
      </c>
      <c r="H28" s="710">
        <f>'4.5 Rozvoj'!G28</f>
        <v>0</v>
      </c>
      <c r="I28" s="704">
        <f>'4.5 Rozvoj'!H28</f>
        <v>0</v>
      </c>
      <c r="J28" s="710">
        <f>'4.6 RUK'!C28</f>
        <v>0</v>
      </c>
      <c r="K28" s="1115">
        <f>'4.6 RUK'!D28</f>
        <v>6320976</v>
      </c>
      <c r="L28" s="710">
        <f>'5 Koheze'!J28+'5 Koheze'!K28</f>
        <v>0</v>
      </c>
      <c r="M28" s="1117">
        <f t="shared" si="5"/>
        <v>0</v>
      </c>
      <c r="N28" s="717">
        <f t="shared" si="3"/>
        <v>13286963.031601006</v>
      </c>
      <c r="O28" s="714">
        <f t="shared" si="4"/>
        <v>13286963.031601006</v>
      </c>
      <c r="P28" s="611" t="s">
        <v>408</v>
      </c>
    </row>
    <row r="29" spans="1:16" s="6" customFormat="1" ht="9" customHeight="1">
      <c r="A29" s="84"/>
      <c r="B29" s="56" t="s">
        <v>409</v>
      </c>
      <c r="C29" s="701">
        <f>'1 Příspěvek na vzdělávání'!E29</f>
        <v>0</v>
      </c>
      <c r="D29" s="704">
        <f>'2 Podpora vědy'!E30</f>
        <v>0</v>
      </c>
      <c r="E29" s="707"/>
      <c r="F29" s="710">
        <f>'4.4. Nemovitosti'!L29</f>
        <v>0</v>
      </c>
      <c r="G29" s="704">
        <f>'4.4. Nemovitosti'!M29</f>
        <v>0</v>
      </c>
      <c r="H29" s="710">
        <f>'4.5 Rozvoj'!G29</f>
        <v>0</v>
      </c>
      <c r="I29" s="704">
        <f>'4.5 Rozvoj'!H29</f>
        <v>0</v>
      </c>
      <c r="J29" s="710">
        <f>'4.6 RUK'!C29</f>
        <v>0</v>
      </c>
      <c r="K29" s="1115">
        <f>'4.6 RUK'!D29</f>
        <v>5329450</v>
      </c>
      <c r="L29" s="710">
        <f>'5 Koheze'!J29+'5 Koheze'!K29</f>
        <v>0</v>
      </c>
      <c r="M29" s="1117">
        <f t="shared" si="5"/>
        <v>0</v>
      </c>
      <c r="N29" s="717">
        <f t="shared" si="3"/>
        <v>5329450</v>
      </c>
      <c r="O29" s="714">
        <f t="shared" si="4"/>
        <v>5329450</v>
      </c>
      <c r="P29" s="611" t="s">
        <v>409</v>
      </c>
    </row>
    <row r="30" spans="1:16" s="6" customFormat="1" ht="9" customHeight="1">
      <c r="A30" s="84"/>
      <c r="B30" s="56" t="s">
        <v>411</v>
      </c>
      <c r="C30" s="701">
        <f>'1 Příspěvek na vzdělávání'!E30</f>
        <v>0</v>
      </c>
      <c r="D30" s="704">
        <f>'2 Podpora vědy'!E31</f>
        <v>3111659</v>
      </c>
      <c r="E30" s="707"/>
      <c r="F30" s="710">
        <f>'4.4. Nemovitosti'!L30</f>
        <v>0</v>
      </c>
      <c r="G30" s="704">
        <f>'4.4. Nemovitosti'!M30</f>
        <v>0</v>
      </c>
      <c r="H30" s="710">
        <f>'4.5 Rozvoj'!G30</f>
        <v>3010111</v>
      </c>
      <c r="I30" s="704">
        <f>'4.5 Rozvoj'!H30</f>
        <v>0</v>
      </c>
      <c r="J30" s="710">
        <f>'4.6 RUK'!C30</f>
        <v>2078478</v>
      </c>
      <c r="K30" s="1115">
        <f>'4.6 RUK'!D30</f>
        <v>6275907</v>
      </c>
      <c r="L30" s="710">
        <f>'5 Koheze'!J30+'5 Koheze'!K30</f>
        <v>0</v>
      </c>
      <c r="M30" s="1117">
        <f t="shared" si="5"/>
        <v>5088589</v>
      </c>
      <c r="N30" s="717">
        <f t="shared" si="3"/>
        <v>9387566</v>
      </c>
      <c r="O30" s="714">
        <f t="shared" si="4"/>
        <v>14476155</v>
      </c>
      <c r="P30" s="611" t="s">
        <v>411</v>
      </c>
    </row>
    <row r="31" spans="1:16" s="6" customFormat="1" ht="9" customHeight="1">
      <c r="A31" s="84"/>
      <c r="B31" s="56" t="s">
        <v>412</v>
      </c>
      <c r="C31" s="701">
        <f>'1 Příspěvek na vzdělávání'!E31</f>
        <v>0</v>
      </c>
      <c r="D31" s="704">
        <f>'2 Podpora vědy'!E32</f>
        <v>0</v>
      </c>
      <c r="E31" s="707"/>
      <c r="F31" s="710">
        <f>'4.4. Nemovitosti'!L31</f>
        <v>0</v>
      </c>
      <c r="G31" s="704">
        <f>'4.4. Nemovitosti'!M31</f>
        <v>0</v>
      </c>
      <c r="H31" s="710">
        <f>'4.5 Rozvoj'!G31</f>
        <v>0</v>
      </c>
      <c r="I31" s="704">
        <f>'4.5 Rozvoj'!H31</f>
        <v>0</v>
      </c>
      <c r="J31" s="710">
        <f>'4.6 RUK'!C31</f>
        <v>57978603</v>
      </c>
      <c r="K31" s="1115">
        <f>'4.6 RUK'!D31</f>
        <v>11560288</v>
      </c>
      <c r="L31" s="710">
        <f>'5 Koheze'!J31+'5 Koheze'!K31</f>
        <v>0</v>
      </c>
      <c r="M31" s="1117">
        <f t="shared" si="5"/>
        <v>57978603</v>
      </c>
      <c r="N31" s="717">
        <f t="shared" si="3"/>
        <v>11560288</v>
      </c>
      <c r="O31" s="714">
        <f t="shared" si="4"/>
        <v>69538891</v>
      </c>
      <c r="P31" s="611" t="s">
        <v>412</v>
      </c>
    </row>
    <row r="32" spans="1:16" s="6" customFormat="1" ht="9" customHeight="1">
      <c r="A32" s="536"/>
      <c r="B32" s="537" t="s">
        <v>413</v>
      </c>
      <c r="C32" s="702">
        <f>'1 Příspěvek na vzdělávání'!E32</f>
        <v>0</v>
      </c>
      <c r="D32" s="705">
        <f>'2 Podpora vědy'!E33</f>
        <v>0</v>
      </c>
      <c r="E32" s="708"/>
      <c r="F32" s="711">
        <f>'4.4. Nemovitosti'!L32</f>
        <v>0</v>
      </c>
      <c r="G32" s="705">
        <f>'4.4. Nemovitosti'!M32</f>
        <v>0</v>
      </c>
      <c r="H32" s="711">
        <f>'4.5 Rozvoj'!G32</f>
        <v>0</v>
      </c>
      <c r="I32" s="705">
        <f>'4.5 Rozvoj'!H32</f>
        <v>0</v>
      </c>
      <c r="J32" s="711">
        <f>'4.6 RUK'!C32</f>
        <v>16299645</v>
      </c>
      <c r="K32" s="1116">
        <f>'4.6 RUK'!D32</f>
        <v>4766083</v>
      </c>
      <c r="L32" s="711">
        <f>'5 Koheze'!J32+'5 Koheze'!K32</f>
        <v>0</v>
      </c>
      <c r="M32" s="1118">
        <f t="shared" si="5"/>
        <v>16299645</v>
      </c>
      <c r="N32" s="718">
        <f t="shared" si="3"/>
        <v>4766083</v>
      </c>
      <c r="O32" s="715">
        <f t="shared" si="4"/>
        <v>21065728</v>
      </c>
      <c r="P32" s="611" t="s">
        <v>413</v>
      </c>
    </row>
    <row r="33" spans="1:16" ht="9.75" customHeight="1">
      <c r="A33" s="312" t="s">
        <v>414</v>
      </c>
      <c r="B33" s="313" t="s">
        <v>415</v>
      </c>
      <c r="C33" s="530">
        <f>'1 Příspěvek na vzdělávání'!E33</f>
        <v>0</v>
      </c>
      <c r="D33" s="531">
        <f>'2 Podpora vědy'!E34</f>
        <v>0</v>
      </c>
      <c r="E33" s="532">
        <f>'3 SVV'!C33</f>
        <v>0</v>
      </c>
      <c r="F33" s="530">
        <f>'4.4. Nemovitosti'!L33</f>
        <v>7268726.468908806</v>
      </c>
      <c r="G33" s="531">
        <f>'4.4. Nemovitosti'!M33</f>
        <v>0</v>
      </c>
      <c r="H33" s="530">
        <f>'4.5 Rozvoj'!G33</f>
        <v>0</v>
      </c>
      <c r="I33" s="531">
        <f>'4.5 Rozvoj'!H33</f>
        <v>0</v>
      </c>
      <c r="J33" s="530">
        <f>'4.6 RUK'!C33</f>
        <v>87843053</v>
      </c>
      <c r="K33" s="531">
        <f>'4.6 RUK'!D33</f>
        <v>0</v>
      </c>
      <c r="L33" s="530">
        <f>'5 Koheze'!J33+'5 Koheze'!K33</f>
        <v>0</v>
      </c>
      <c r="M33" s="533">
        <f t="shared" si="5"/>
        <v>95111779.4689088</v>
      </c>
      <c r="N33" s="534">
        <f t="shared" si="3"/>
        <v>0</v>
      </c>
      <c r="O33" s="535">
        <f t="shared" si="4"/>
        <v>95111779.4689088</v>
      </c>
      <c r="P33" s="293" t="s">
        <v>415</v>
      </c>
    </row>
    <row r="34" spans="1:16" ht="9.75" customHeight="1">
      <c r="A34" s="127" t="s">
        <v>416</v>
      </c>
      <c r="B34" s="128" t="s">
        <v>417</v>
      </c>
      <c r="C34" s="518">
        <f>'1 Příspěvek na vzdělávání'!E34</f>
        <v>0</v>
      </c>
      <c r="D34" s="519">
        <f>'2 Podpora vědy'!E35</f>
        <v>0</v>
      </c>
      <c r="E34" s="524">
        <f>'3 SVV'!C34</f>
        <v>0</v>
      </c>
      <c r="F34" s="518">
        <f>'4.4. Nemovitosti'!L34</f>
        <v>0</v>
      </c>
      <c r="G34" s="519">
        <f>'4.4. Nemovitosti'!M34</f>
        <v>0</v>
      </c>
      <c r="H34" s="518">
        <f>'4.5 Rozvoj'!G34</f>
        <v>0</v>
      </c>
      <c r="I34" s="519">
        <f>'4.5 Rozvoj'!H34</f>
        <v>0</v>
      </c>
      <c r="J34" s="518">
        <f>'4.6 RUK'!C34</f>
        <v>0</v>
      </c>
      <c r="K34" s="519">
        <f>'4.6 RUK'!D34</f>
        <v>0</v>
      </c>
      <c r="L34" s="518">
        <f>'5 Koheze'!J34+'5 Koheze'!K34</f>
        <v>0</v>
      </c>
      <c r="M34" s="525">
        <f t="shared" si="5"/>
        <v>0</v>
      </c>
      <c r="N34" s="526">
        <f t="shared" si="3"/>
        <v>0</v>
      </c>
      <c r="O34" s="527">
        <f t="shared" si="4"/>
        <v>0</v>
      </c>
      <c r="P34" s="293" t="s">
        <v>417</v>
      </c>
    </row>
    <row r="35" spans="1:16" ht="9.75" customHeight="1">
      <c r="A35" s="13" t="s">
        <v>570</v>
      </c>
      <c r="B35" s="27" t="s">
        <v>571</v>
      </c>
      <c r="C35" s="28">
        <f>'1 Příspěvek na vzdělávání'!E35</f>
        <v>0</v>
      </c>
      <c r="D35" s="66">
        <f>'2 Podpora vědy'!E36</f>
        <v>0</v>
      </c>
      <c r="E35" s="89"/>
      <c r="F35" s="28">
        <f>'4.4. Nemovitosti'!L35</f>
        <v>6699898.477116177</v>
      </c>
      <c r="G35" s="66">
        <f>'4.4. Nemovitosti'!M35</f>
        <v>0</v>
      </c>
      <c r="H35" s="28">
        <f>'4.5 Rozvoj'!G35</f>
        <v>0</v>
      </c>
      <c r="I35" s="66">
        <f>'4.5 Rozvoj'!H35</f>
        <v>0</v>
      </c>
      <c r="J35" s="28">
        <f>'4.6 RUK'!C35</f>
        <v>0</v>
      </c>
      <c r="K35" s="66">
        <f>'4.6 RUK'!D35</f>
        <v>0</v>
      </c>
      <c r="L35" s="28">
        <f>'5 Koheze'!J35+'5 Koheze'!K35</f>
        <v>0</v>
      </c>
      <c r="M35" s="365">
        <f t="shared" si="5"/>
        <v>6699898.477116177</v>
      </c>
      <c r="N35" s="366">
        <f t="shared" si="3"/>
        <v>0</v>
      </c>
      <c r="O35" s="67">
        <f t="shared" si="4"/>
        <v>6699898.477116177</v>
      </c>
      <c r="P35" s="293" t="s">
        <v>571</v>
      </c>
    </row>
    <row r="36" spans="1:16" ht="9.75" customHeight="1">
      <c r="A36" s="13" t="s">
        <v>649</v>
      </c>
      <c r="B36" s="27" t="s">
        <v>410</v>
      </c>
      <c r="C36" s="28">
        <f>'1 Příspěvek na vzdělávání'!E36</f>
        <v>0</v>
      </c>
      <c r="D36" s="66">
        <f>'2 Podpora vědy'!E37</f>
        <v>0</v>
      </c>
      <c r="E36" s="89"/>
      <c r="F36" s="28">
        <f>'4.4. Nemovitosti'!L36</f>
        <v>69328.08932040716</v>
      </c>
      <c r="G36" s="66">
        <f>'4.4. Nemovitosti'!M36</f>
        <v>0</v>
      </c>
      <c r="H36" s="28">
        <f>'4.5 Rozvoj'!G36</f>
        <v>0</v>
      </c>
      <c r="I36" s="66">
        <f>'4.5 Rozvoj'!H36</f>
        <v>0</v>
      </c>
      <c r="J36" s="28">
        <f>'4.6 RUK'!C36</f>
        <v>17940549</v>
      </c>
      <c r="K36" s="66">
        <f>'4.6 RUK'!D36</f>
        <v>13002507</v>
      </c>
      <c r="L36" s="28">
        <f>'5 Koheze'!J36+'5 Koheze'!K36</f>
        <v>0</v>
      </c>
      <c r="M36" s="365">
        <f t="shared" si="5"/>
        <v>18009877.089320406</v>
      </c>
      <c r="N36" s="366">
        <f t="shared" si="3"/>
        <v>13002507</v>
      </c>
      <c r="O36" s="67">
        <f t="shared" si="4"/>
        <v>31012384.089320406</v>
      </c>
      <c r="P36" s="293" t="s">
        <v>410</v>
      </c>
    </row>
    <row r="37" spans="1:16" ht="9.75" customHeight="1">
      <c r="A37" s="15" t="s">
        <v>434</v>
      </c>
      <c r="B37" s="27"/>
      <c r="C37" s="24">
        <f aca="true" t="shared" si="6" ref="C37:N37">C22+C24+C25+SUM(C33:C36)</f>
        <v>3075041090.45097</v>
      </c>
      <c r="D37" s="43">
        <f t="shared" si="6"/>
        <v>1362036251</v>
      </c>
      <c r="E37" s="90">
        <f t="shared" si="6"/>
        <v>122705706</v>
      </c>
      <c r="F37" s="24">
        <f t="shared" si="6"/>
        <v>68877000.00001967</v>
      </c>
      <c r="G37" s="43">
        <f t="shared" si="6"/>
        <v>31122999.99998033</v>
      </c>
      <c r="H37" s="24">
        <f t="shared" si="6"/>
        <v>52347000</v>
      </c>
      <c r="I37" s="43">
        <f t="shared" si="6"/>
        <v>23653000</v>
      </c>
      <c r="J37" s="24">
        <f t="shared" si="6"/>
        <v>282265000</v>
      </c>
      <c r="K37" s="43">
        <f t="shared" si="6"/>
        <v>127544000</v>
      </c>
      <c r="L37" s="24">
        <f>'5 Koheze'!J37+'5 Koheze'!K37</f>
        <v>0</v>
      </c>
      <c r="M37" s="24">
        <f t="shared" si="6"/>
        <v>3478530090.45099</v>
      </c>
      <c r="N37" s="43">
        <f t="shared" si="6"/>
        <v>1544356250.9999804</v>
      </c>
      <c r="O37" s="79">
        <f>O22+O24+O25+SUM(O33:O36)</f>
        <v>5145592047.45097</v>
      </c>
      <c r="P37" s="59"/>
    </row>
    <row r="38" spans="1:16" ht="9.75" customHeight="1">
      <c r="A38" s="94"/>
      <c r="B38" s="95"/>
      <c r="C38" s="401">
        <f>'1 Příspěvek na vzdělávání'!E37</f>
        <v>3075041090.45097</v>
      </c>
      <c r="D38" s="401">
        <f>Bilance!C85*98%</f>
        <v>1362036250.82</v>
      </c>
      <c r="E38" s="391">
        <f>'3 SVV'!C38</f>
        <v>122705706</v>
      </c>
      <c r="F38" s="391">
        <f>'4.4. Nemovitosti'!L37</f>
        <v>68877000.00001967</v>
      </c>
      <c r="G38" s="391">
        <f>'4.4. Nemovitosti'!M37</f>
        <v>31122999.99998033</v>
      </c>
      <c r="H38" s="391">
        <f>'4.5 Rozvoj'!G37</f>
        <v>52347000</v>
      </c>
      <c r="I38" s="391">
        <f>'4.5 Rozvoj'!H37</f>
        <v>23653000</v>
      </c>
      <c r="J38" s="391">
        <f>'4.6 RUK'!C37</f>
        <v>282265000</v>
      </c>
      <c r="K38" s="391">
        <f>'4.6 RUK'!D37</f>
        <v>127544000</v>
      </c>
      <c r="L38" s="391">
        <f>'5 Koheze'!J37+'5 Koheze'!K37</f>
        <v>0</v>
      </c>
      <c r="M38" s="391">
        <f>Bilance!C58+Bilance!C62+Bilance!C69+Bilance!C80</f>
        <v>3478530090.45097</v>
      </c>
      <c r="N38" s="391">
        <f>Bilance!C59+Bilance!C63+Bilance!C70+'2 Podpora vědy'!C45</f>
        <v>1544356251</v>
      </c>
      <c r="O38" s="391">
        <f>Bilance!C57+Bilance!C61+Bilance!C67+Bilance!C80+Bilance!C86+'2 Podpora vědy'!C45</f>
        <v>5145592047.45097</v>
      </c>
      <c r="P38" s="59"/>
    </row>
    <row r="39" spans="1:15" ht="13.5" customHeight="1">
      <c r="A39" t="s">
        <v>436</v>
      </c>
      <c r="C39" s="391">
        <f aca="true" t="shared" si="7" ref="C39:N39">C38-C37</f>
        <v>0</v>
      </c>
      <c r="D39" s="391">
        <f t="shared" si="7"/>
        <v>-0.18000006675720215</v>
      </c>
      <c r="E39" s="391">
        <f t="shared" si="7"/>
        <v>0</v>
      </c>
      <c r="F39" s="391">
        <f t="shared" si="7"/>
        <v>0</v>
      </c>
      <c r="G39" s="391">
        <f t="shared" si="7"/>
        <v>0</v>
      </c>
      <c r="H39" s="391">
        <f t="shared" si="7"/>
        <v>0</v>
      </c>
      <c r="I39" s="391">
        <f t="shared" si="7"/>
        <v>0</v>
      </c>
      <c r="J39" s="391">
        <f t="shared" si="7"/>
        <v>0</v>
      </c>
      <c r="K39" s="391">
        <f t="shared" si="7"/>
        <v>0</v>
      </c>
      <c r="L39" s="391">
        <f t="shared" si="7"/>
        <v>0</v>
      </c>
      <c r="M39" s="391">
        <f t="shared" si="7"/>
        <v>-2.002716064453125E-05</v>
      </c>
      <c r="N39" s="391">
        <f t="shared" si="7"/>
        <v>1.9550323486328125E-05</v>
      </c>
      <c r="O39" s="391">
        <f>O37-O38</f>
        <v>0</v>
      </c>
    </row>
    <row r="40" spans="1:15" ht="9.75" customHeight="1">
      <c r="A40" s="1100" t="s">
        <v>437</v>
      </c>
      <c r="B40" s="1100"/>
      <c r="C40" s="1100"/>
      <c r="D40" s="1093"/>
      <c r="E40" s="1093"/>
      <c r="F40" s="1093"/>
      <c r="G40" s="1093"/>
      <c r="H40" s="1093"/>
      <c r="I40" s="1093"/>
      <c r="J40" s="1093"/>
      <c r="K40" s="1093"/>
      <c r="L40" s="1093"/>
      <c r="M40" s="1104"/>
      <c r="N40" s="1104"/>
      <c r="O40" s="1093"/>
    </row>
    <row r="41" spans="1:15" ht="9.75" customHeight="1">
      <c r="A41" s="1100" t="s">
        <v>438</v>
      </c>
      <c r="B41" s="1100"/>
      <c r="C41" s="1100"/>
      <c r="D41" s="1093"/>
      <c r="E41" s="1093"/>
      <c r="F41" s="1093"/>
      <c r="G41" s="1093"/>
      <c r="H41" s="1093"/>
      <c r="I41" s="1093"/>
      <c r="J41" s="1093"/>
      <c r="K41" s="1093"/>
      <c r="L41" s="1093"/>
      <c r="M41" s="1104"/>
      <c r="N41" s="1093"/>
      <c r="O41" s="1093"/>
    </row>
    <row r="42" ht="9.75" customHeight="1">
      <c r="M42" s="1104"/>
    </row>
    <row r="43" ht="9.75" customHeight="1">
      <c r="M43" s="1104"/>
    </row>
    <row r="44" ht="9.75" customHeight="1">
      <c r="M44" s="1104"/>
    </row>
    <row r="45" ht="9.75" customHeight="1">
      <c r="M45" s="1104"/>
    </row>
    <row r="46" ht="9.75" customHeight="1">
      <c r="M46" s="1104"/>
    </row>
    <row r="47" ht="9.75" customHeight="1">
      <c r="M47" s="1104"/>
    </row>
    <row r="48" ht="9.75" customHeight="1">
      <c r="M48" s="1104"/>
    </row>
  </sheetData>
  <sheetProtection/>
  <mergeCells count="1">
    <mergeCell ref="A3:B3"/>
  </mergeCells>
  <printOptions horizontalCentered="1"/>
  <pageMargins left="0" right="0" top="1.1811023622047245" bottom="0.7480314960629921" header="0.5118110236220472" footer="0.31496062992125984"/>
  <pageSetup fitToHeight="1" fitToWidth="1" horizontalDpi="600" verticalDpi="600" orientation="landscape" paperSize="9" scale="80" r:id="rId1"/>
  <headerFooter alignWithMargins="0">
    <oddHeader>&amp;C&amp;16&amp;A</oddHeader>
    <oddFooter>&amp;C&amp;F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4"/>
  <sheetViews>
    <sheetView showZeros="0" workbookViewId="0" topLeftCell="A16">
      <selection activeCell="U19" sqref="U19"/>
    </sheetView>
  </sheetViews>
  <sheetFormatPr defaultColWidth="9.33203125" defaultRowHeight="9.75" customHeight="1"/>
  <cols>
    <col min="1" max="1" width="5.33203125" style="0" customWidth="1"/>
    <col min="2" max="2" width="17.33203125" style="0" customWidth="1"/>
    <col min="3" max="3" width="14.33203125" style="0" customWidth="1"/>
    <col min="4" max="4" width="13.5" style="0" bestFit="1" customWidth="1"/>
    <col min="5" max="5" width="6.66015625" style="0" customWidth="1"/>
    <col min="6" max="6" width="0.82421875" style="0" customWidth="1"/>
    <col min="7" max="7" width="14.33203125" style="0" customWidth="1"/>
    <col min="8" max="8" width="13.33203125" style="0" customWidth="1"/>
    <col min="9" max="9" width="6.66015625" style="0" customWidth="1"/>
    <col min="10" max="10" width="0.82421875" style="0" customWidth="1"/>
    <col min="11" max="11" width="14.66015625" style="0" customWidth="1"/>
    <col min="12" max="12" width="12.66015625" style="0" customWidth="1"/>
    <col min="13" max="13" width="6.66015625" style="0" customWidth="1"/>
    <col min="14" max="14" width="0.82421875" style="0" customWidth="1"/>
    <col min="15" max="16" width="12.66015625" style="0" customWidth="1"/>
    <col min="17" max="17" width="6.66015625" style="0" customWidth="1"/>
    <col min="18" max="18" width="0.65625" style="0" customWidth="1"/>
    <col min="19" max="19" width="13.5" style="0" bestFit="1" customWidth="1"/>
    <col min="20" max="20" width="14.33203125" style="0" customWidth="1"/>
    <col min="21" max="21" width="6.66015625" style="0" customWidth="1"/>
    <col min="22" max="22" width="5.5" style="0" customWidth="1"/>
    <col min="23" max="23" width="17.16015625" style="0" customWidth="1"/>
    <col min="25" max="25" width="18.5" style="0" customWidth="1"/>
    <col min="26" max="26" width="11.5" style="0" customWidth="1"/>
  </cols>
  <sheetData>
    <row r="1" ht="9.75" customHeight="1">
      <c r="O1" s="369"/>
    </row>
    <row r="2" spans="1:23" ht="79.5" customHeight="1">
      <c r="A2" s="1252" t="s">
        <v>732</v>
      </c>
      <c r="B2" s="1253"/>
      <c r="C2" s="1247" t="s">
        <v>602</v>
      </c>
      <c r="D2" s="1256"/>
      <c r="E2" s="1256"/>
      <c r="G2" s="1257" t="s">
        <v>439</v>
      </c>
      <c r="H2" s="1257"/>
      <c r="I2" s="1257"/>
      <c r="K2" s="1258" t="s">
        <v>440</v>
      </c>
      <c r="L2" s="1258"/>
      <c r="M2" s="1258"/>
      <c r="O2" s="1259" t="s">
        <v>1302</v>
      </c>
      <c r="P2" s="1259"/>
      <c r="Q2" s="1259"/>
      <c r="R2" s="96"/>
      <c r="S2" s="1259" t="s">
        <v>5</v>
      </c>
      <c r="T2" s="1259"/>
      <c r="U2" s="1259"/>
      <c r="V2" s="1252" t="s">
        <v>732</v>
      </c>
      <c r="W2" s="1253"/>
    </row>
    <row r="3" spans="1:23" ht="12.75" customHeight="1">
      <c r="A3" s="1254"/>
      <c r="B3" s="1255"/>
      <c r="C3" s="865">
        <v>2020</v>
      </c>
      <c r="D3" s="98">
        <v>2019</v>
      </c>
      <c r="E3" s="97" t="s">
        <v>441</v>
      </c>
      <c r="F3" s="99"/>
      <c r="G3" s="100">
        <f>C3</f>
        <v>2020</v>
      </c>
      <c r="H3" s="98">
        <f>D3</f>
        <v>2019</v>
      </c>
      <c r="I3" s="100" t="s">
        <v>441</v>
      </c>
      <c r="J3" s="99"/>
      <c r="K3" s="101">
        <f>C3</f>
        <v>2020</v>
      </c>
      <c r="L3" s="98">
        <f>D3</f>
        <v>2019</v>
      </c>
      <c r="M3" s="101" t="s">
        <v>441</v>
      </c>
      <c r="N3" s="99"/>
      <c r="O3" s="98">
        <f>C3</f>
        <v>2020</v>
      </c>
      <c r="P3" s="98">
        <f>D3</f>
        <v>2019</v>
      </c>
      <c r="Q3" s="98" t="s">
        <v>441</v>
      </c>
      <c r="R3" s="102"/>
      <c r="S3" s="98">
        <f>G3</f>
        <v>2020</v>
      </c>
      <c r="T3" s="98">
        <f>H3</f>
        <v>2019</v>
      </c>
      <c r="U3" s="98" t="s">
        <v>441</v>
      </c>
      <c r="V3" s="1254"/>
      <c r="W3" s="1255"/>
    </row>
    <row r="4" spans="1:24" ht="12.75" customHeight="1">
      <c r="A4" s="127" t="s">
        <v>376</v>
      </c>
      <c r="B4" s="128" t="s">
        <v>371</v>
      </c>
      <c r="C4" s="48">
        <f>'1 Příspěvek na vzdělávání'!E4+'5 Koheze'!J4+'5 Koheze'!K4+'4.6 RUK'!C4</f>
        <v>28788418.022749323</v>
      </c>
      <c r="D4" s="109">
        <v>28717427</v>
      </c>
      <c r="E4" s="104">
        <f aca="true" t="shared" si="0" ref="E4:E22">IF(D4=0,0,C4/D4)</f>
        <v>1.0024720537375902</v>
      </c>
      <c r="G4" s="105">
        <f>'2 Podpora vědy'!E5+'4.6 RUK'!D4</f>
        <v>7225662</v>
      </c>
      <c r="H4" s="109">
        <v>6704476</v>
      </c>
      <c r="I4" s="106">
        <f aca="true" t="shared" si="1" ref="I4:I22">IF(H4=0,0,G4/H4)</f>
        <v>1.077737022252</v>
      </c>
      <c r="K4" s="107">
        <f>'3 SVV'!C4</f>
        <v>875000</v>
      </c>
      <c r="L4" s="109">
        <v>855000</v>
      </c>
      <c r="M4" s="108">
        <f aca="true" t="shared" si="2" ref="M4:M22">IF(L4=0,0,K4/L4)</f>
        <v>1.023391812865497</v>
      </c>
      <c r="O4" s="109">
        <f>'4.4. Nemovitosti'!J4+'4.5 Rozvoj'!E4</f>
        <v>392632.6104322406</v>
      </c>
      <c r="P4" s="109">
        <v>405271</v>
      </c>
      <c r="Q4" s="110">
        <f aca="true" t="shared" si="3" ref="Q4:Q22">IF(P4=0,0,O4/P4)</f>
        <v>0.9688149668548715</v>
      </c>
      <c r="R4" s="111"/>
      <c r="S4" s="109">
        <f>C4+G4+K4+O4</f>
        <v>37281712.63318156</v>
      </c>
      <c r="T4" s="109">
        <f>D4+H4+L4+P4</f>
        <v>36682174</v>
      </c>
      <c r="U4" s="110">
        <f aca="true" t="shared" si="4" ref="U4:U22">IF(T4=0,0,S4/T4)</f>
        <v>1.0163441412491407</v>
      </c>
      <c r="V4" s="13" t="s">
        <v>376</v>
      </c>
      <c r="W4" s="14" t="s">
        <v>371</v>
      </c>
      <c r="X4" s="11"/>
    </row>
    <row r="5" spans="1:24" ht="12.75" customHeight="1">
      <c r="A5" s="13" t="s">
        <v>377</v>
      </c>
      <c r="B5" s="27" t="s">
        <v>68</v>
      </c>
      <c r="C5" s="48">
        <f>'1 Příspěvek na vzdělávání'!E5+'5 Koheze'!J5+'5 Koheze'!K5+'4.6 RUK'!C5</f>
        <v>22760043.397943445</v>
      </c>
      <c r="D5" s="109">
        <v>25136601</v>
      </c>
      <c r="E5" s="104">
        <f t="shared" si="0"/>
        <v>0.9054542974184714</v>
      </c>
      <c r="G5" s="105">
        <f>'2 Podpora vědy'!E6+'4.6 RUK'!D5</f>
        <v>6890815</v>
      </c>
      <c r="H5" s="109">
        <v>6393781</v>
      </c>
      <c r="I5" s="106">
        <f t="shared" si="1"/>
        <v>1.0777371010987082</v>
      </c>
      <c r="K5" s="107">
        <f>'3 SVV'!C5</f>
        <v>1264500</v>
      </c>
      <c r="L5" s="109">
        <v>722000</v>
      </c>
      <c r="M5" s="108">
        <f t="shared" si="2"/>
        <v>1.7513850415512466</v>
      </c>
      <c r="O5" s="109">
        <f>'4.4. Nemovitosti'!J5+'4.5 Rozvoj'!E5</f>
        <v>756117.7620565572</v>
      </c>
      <c r="P5" s="109">
        <v>738739</v>
      </c>
      <c r="Q5" s="110">
        <f t="shared" si="3"/>
        <v>1.0235249012933623</v>
      </c>
      <c r="R5" s="111"/>
      <c r="S5" s="109">
        <f aca="true" t="shared" si="5" ref="S5:S20">C5+G5+K5+O5</f>
        <v>31671476.16</v>
      </c>
      <c r="T5" s="109">
        <f aca="true" t="shared" si="6" ref="T5:T21">D5+H5+L5+P5</f>
        <v>32991121</v>
      </c>
      <c r="U5" s="110">
        <f t="shared" si="4"/>
        <v>0.96</v>
      </c>
      <c r="V5" s="13" t="s">
        <v>377</v>
      </c>
      <c r="W5" s="14" t="s">
        <v>68</v>
      </c>
      <c r="X5" s="11"/>
    </row>
    <row r="6" spans="1:24" ht="12.75" customHeight="1">
      <c r="A6" s="13" t="s">
        <v>378</v>
      </c>
      <c r="B6" s="27" t="s">
        <v>372</v>
      </c>
      <c r="C6" s="48">
        <f>'1 Příspěvek na vzdělávání'!E6+'5 Koheze'!J6+'5 Koheze'!K6+'4.6 RUK'!C6</f>
        <v>35493744.13655694</v>
      </c>
      <c r="D6" s="109">
        <v>35341123</v>
      </c>
      <c r="E6" s="104">
        <f t="shared" si="0"/>
        <v>1.0043185140595825</v>
      </c>
      <c r="G6" s="105">
        <f>'2 Podpora vědy'!E7+'4.6 RUK'!D6</f>
        <v>3948983</v>
      </c>
      <c r="H6" s="109">
        <v>3664143</v>
      </c>
      <c r="I6" s="106">
        <f t="shared" si="1"/>
        <v>1.0777371407174883</v>
      </c>
      <c r="K6" s="107">
        <f>'3 SVV'!C6</f>
        <v>694000</v>
      </c>
      <c r="L6" s="109">
        <v>500000</v>
      </c>
      <c r="M6" s="108">
        <f t="shared" si="2"/>
        <v>1.388</v>
      </c>
      <c r="O6" s="109">
        <f>'4.4. Nemovitosti'!J6+'4.5 Rozvoj'!E6</f>
        <v>756280.2836700336</v>
      </c>
      <c r="P6" s="109">
        <v>777412</v>
      </c>
      <c r="Q6" s="110">
        <f t="shared" si="3"/>
        <v>0.9728178670640967</v>
      </c>
      <c r="R6" s="111"/>
      <c r="S6" s="109">
        <f t="shared" si="5"/>
        <v>40893007.42022697</v>
      </c>
      <c r="T6" s="109">
        <f t="shared" si="6"/>
        <v>40282678</v>
      </c>
      <c r="U6" s="110">
        <f t="shared" si="4"/>
        <v>1.0151511629943513</v>
      </c>
      <c r="V6" s="13" t="s">
        <v>378</v>
      </c>
      <c r="W6" s="14" t="s">
        <v>372</v>
      </c>
      <c r="X6" s="11"/>
    </row>
    <row r="7" spans="1:24" ht="12.75" customHeight="1">
      <c r="A7" s="13" t="s">
        <v>379</v>
      </c>
      <c r="B7" s="27" t="s">
        <v>42</v>
      </c>
      <c r="C7" s="48">
        <f>'1 Příspěvek na vzdělávání'!E7+'5 Koheze'!J7+'5 Koheze'!K7+'4.6 RUK'!C7</f>
        <v>155642490.50502372</v>
      </c>
      <c r="D7" s="109">
        <v>155442735</v>
      </c>
      <c r="E7" s="104">
        <f t="shared" si="0"/>
        <v>1.0012850745647504</v>
      </c>
      <c r="G7" s="105">
        <f>'2 Podpora vědy'!E8+'4.6 RUK'!D7</f>
        <v>27428142</v>
      </c>
      <c r="H7" s="109">
        <v>25449754</v>
      </c>
      <c r="I7" s="106">
        <f t="shared" si="1"/>
        <v>1.077737018597508</v>
      </c>
      <c r="K7" s="107">
        <f>'3 SVV'!C7</f>
        <v>4175000</v>
      </c>
      <c r="L7" s="109">
        <v>4171000</v>
      </c>
      <c r="M7" s="108">
        <f t="shared" si="2"/>
        <v>1.0009590026372572</v>
      </c>
      <c r="O7" s="109">
        <f>'4.4. Nemovitosti'!J7+'4.5 Rozvoj'!E7</f>
        <v>3722200.31003144</v>
      </c>
      <c r="P7" s="109">
        <v>3707356</v>
      </c>
      <c r="Q7" s="110">
        <f t="shared" si="3"/>
        <v>1.0040040152689518</v>
      </c>
      <c r="R7" s="111"/>
      <c r="S7" s="109">
        <f t="shared" si="5"/>
        <v>190967832.81505516</v>
      </c>
      <c r="T7" s="109">
        <f t="shared" si="6"/>
        <v>188770845</v>
      </c>
      <c r="U7" s="110">
        <f t="shared" si="4"/>
        <v>1.0116383852339865</v>
      </c>
      <c r="V7" s="13" t="s">
        <v>379</v>
      </c>
      <c r="W7" s="14" t="s">
        <v>42</v>
      </c>
      <c r="X7" s="11"/>
    </row>
    <row r="8" spans="1:24" ht="12.75" customHeight="1">
      <c r="A8" s="13" t="s">
        <v>380</v>
      </c>
      <c r="B8" s="27" t="s">
        <v>8</v>
      </c>
      <c r="C8" s="48">
        <f>'1 Příspěvek na vzdělávání'!E8+'5 Koheze'!J8+'5 Koheze'!K8+'4.6 RUK'!C8</f>
        <v>430497676.6459016</v>
      </c>
      <c r="D8" s="109">
        <v>425128599</v>
      </c>
      <c r="E8" s="104">
        <f t="shared" si="0"/>
        <v>1.0126293024240922</v>
      </c>
      <c r="G8" s="105">
        <f>'2 Podpora vědy'!E9+'4.6 RUK'!D8</f>
        <v>135991117</v>
      </c>
      <c r="H8" s="109">
        <v>126182095</v>
      </c>
      <c r="I8" s="106">
        <f t="shared" si="1"/>
        <v>1.077737035512051</v>
      </c>
      <c r="K8" s="107">
        <f>'3 SVV'!C8</f>
        <v>15499000</v>
      </c>
      <c r="L8" s="109">
        <v>12943000</v>
      </c>
      <c r="M8" s="108">
        <f t="shared" si="2"/>
        <v>1.1974812640037085</v>
      </c>
      <c r="O8" s="109">
        <f>'4.4. Nemovitosti'!J8+'4.5 Rozvoj'!E8</f>
        <v>20186324.801520407</v>
      </c>
      <c r="P8" s="109">
        <v>19267067</v>
      </c>
      <c r="Q8" s="110">
        <f t="shared" si="3"/>
        <v>1.0477113512669265</v>
      </c>
      <c r="R8" s="111"/>
      <c r="S8" s="109">
        <f t="shared" si="5"/>
        <v>602174118.447422</v>
      </c>
      <c r="T8" s="109">
        <f t="shared" si="6"/>
        <v>583520761</v>
      </c>
      <c r="U8" s="110">
        <f t="shared" si="4"/>
        <v>1.0319669130802736</v>
      </c>
      <c r="V8" s="13" t="s">
        <v>380</v>
      </c>
      <c r="W8" s="14" t="s">
        <v>8</v>
      </c>
      <c r="X8" s="11"/>
    </row>
    <row r="9" spans="1:24" ht="12.75" customHeight="1">
      <c r="A9" s="13" t="s">
        <v>381</v>
      </c>
      <c r="B9" s="27" t="s">
        <v>22</v>
      </c>
      <c r="C9" s="48">
        <f>'1 Příspěvek na vzdělávání'!E9+'5 Koheze'!J9+'5 Koheze'!K9+'4.6 RUK'!C9</f>
        <v>158478901.40210068</v>
      </c>
      <c r="D9" s="109">
        <v>156016632</v>
      </c>
      <c r="E9" s="104">
        <f t="shared" si="0"/>
        <v>1.0157820956044012</v>
      </c>
      <c r="G9" s="105">
        <f>'2 Podpora vědy'!E10+'4.6 RUK'!D9</f>
        <v>59479061</v>
      </c>
      <c r="H9" s="109">
        <v>55188844</v>
      </c>
      <c r="I9" s="106">
        <f t="shared" si="1"/>
        <v>1.0777370332308465</v>
      </c>
      <c r="K9" s="107">
        <f>'3 SVV'!C9</f>
        <v>7296000</v>
      </c>
      <c r="L9" s="109">
        <v>5607000</v>
      </c>
      <c r="M9" s="108">
        <f t="shared" si="2"/>
        <v>1.301230604601391</v>
      </c>
      <c r="O9" s="109">
        <f>'4.4. Nemovitosti'!J9+'4.5 Rozvoj'!E9</f>
        <v>2466576.5464703543</v>
      </c>
      <c r="P9" s="109">
        <v>1575746</v>
      </c>
      <c r="Q9" s="110">
        <f t="shared" si="3"/>
        <v>1.5653389229421204</v>
      </c>
      <c r="R9" s="111"/>
      <c r="S9" s="109">
        <f t="shared" si="5"/>
        <v>227720538.94857103</v>
      </c>
      <c r="T9" s="109">
        <f t="shared" si="6"/>
        <v>218388222</v>
      </c>
      <c r="U9" s="110">
        <f t="shared" si="4"/>
        <v>1.0427326934717707</v>
      </c>
      <c r="V9" s="13" t="s">
        <v>381</v>
      </c>
      <c r="W9" s="14" t="s">
        <v>22</v>
      </c>
      <c r="X9" s="11"/>
    </row>
    <row r="10" spans="1:24" ht="12.75" customHeight="1">
      <c r="A10" s="13" t="s">
        <v>382</v>
      </c>
      <c r="B10" s="27" t="s">
        <v>21</v>
      </c>
      <c r="C10" s="48">
        <f>'1 Příspěvek na vzdělávání'!E10+'5 Koheze'!J10+'5 Koheze'!K10+'4.6 RUK'!C10</f>
        <v>176088413.5922887</v>
      </c>
      <c r="D10" s="109">
        <v>173175357</v>
      </c>
      <c r="E10" s="104">
        <f t="shared" si="0"/>
        <v>1.0168214268054818</v>
      </c>
      <c r="G10" s="105">
        <f>'2 Podpora vědy'!E11+'4.6 RUK'!D10</f>
        <v>66166792</v>
      </c>
      <c r="H10" s="109">
        <v>61394190</v>
      </c>
      <c r="I10" s="106">
        <f t="shared" si="1"/>
        <v>1.0777370301652323</v>
      </c>
      <c r="K10" s="107">
        <f>'3 SVV'!C10</f>
        <v>6010000</v>
      </c>
      <c r="L10" s="109">
        <v>5453000</v>
      </c>
      <c r="M10" s="108">
        <f t="shared" si="2"/>
        <v>1.1021456079222447</v>
      </c>
      <c r="O10" s="109">
        <f>'4.4. Nemovitosti'!J10+'4.5 Rozvoj'!E10</f>
        <v>2084690.4739661755</v>
      </c>
      <c r="P10" s="109">
        <v>2023595</v>
      </c>
      <c r="Q10" s="110">
        <f t="shared" si="3"/>
        <v>1.0301915521466378</v>
      </c>
      <c r="R10" s="111"/>
      <c r="S10" s="109">
        <f t="shared" si="5"/>
        <v>250349896.06625488</v>
      </c>
      <c r="T10" s="109">
        <f t="shared" si="6"/>
        <v>242046142</v>
      </c>
      <c r="U10" s="110">
        <f t="shared" si="4"/>
        <v>1.0343064921326235</v>
      </c>
      <c r="V10" s="13" t="s">
        <v>382</v>
      </c>
      <c r="W10" s="14" t="s">
        <v>21</v>
      </c>
      <c r="X10" s="11"/>
    </row>
    <row r="11" spans="1:24" ht="12.75" customHeight="1">
      <c r="A11" s="13" t="s">
        <v>383</v>
      </c>
      <c r="B11" s="27" t="s">
        <v>23</v>
      </c>
      <c r="C11" s="48">
        <f>'1 Příspěvek na vzdělávání'!E11+'5 Koheze'!J11+'5 Koheze'!K11+'4.6 RUK'!C11</f>
        <v>177963247.93690848</v>
      </c>
      <c r="D11" s="109">
        <v>175899426</v>
      </c>
      <c r="E11" s="104">
        <f t="shared" si="0"/>
        <v>1.0117329657284297</v>
      </c>
      <c r="G11" s="105">
        <f>'2 Podpora vědy'!E12+'4.6 RUK'!D11</f>
        <v>31283036</v>
      </c>
      <c r="H11" s="109">
        <v>29026595</v>
      </c>
      <c r="I11" s="106">
        <f t="shared" si="1"/>
        <v>1.0777370201361889</v>
      </c>
      <c r="K11" s="107">
        <f>'3 SVV'!C11</f>
        <v>3998000</v>
      </c>
      <c r="L11" s="109">
        <v>3465000</v>
      </c>
      <c r="M11" s="108">
        <f t="shared" si="2"/>
        <v>1.1538239538239539</v>
      </c>
      <c r="O11" s="109">
        <f>'4.4. Nemovitosti'!J11+'4.5 Rozvoj'!E11</f>
        <v>21140649.37269953</v>
      </c>
      <c r="P11" s="109">
        <v>8467478</v>
      </c>
      <c r="Q11" s="110">
        <f t="shared" si="3"/>
        <v>2.4966878417280243</v>
      </c>
      <c r="R11" s="111"/>
      <c r="S11" s="109">
        <f t="shared" si="5"/>
        <v>234384933.309608</v>
      </c>
      <c r="T11" s="109">
        <f t="shared" si="6"/>
        <v>216858499</v>
      </c>
      <c r="U11" s="110">
        <f t="shared" si="4"/>
        <v>1.0808196791475901</v>
      </c>
      <c r="V11" s="13" t="s">
        <v>383</v>
      </c>
      <c r="W11" s="14" t="s">
        <v>23</v>
      </c>
      <c r="X11" s="11"/>
    </row>
    <row r="12" spans="1:24" ht="12.75" customHeight="1">
      <c r="A12" s="13" t="s">
        <v>384</v>
      </c>
      <c r="B12" s="27" t="s">
        <v>24</v>
      </c>
      <c r="C12" s="48">
        <f>'1 Příspěvek na vzdělávání'!E12+'5 Koheze'!J12+'5 Koheze'!K12+'4.6 RUK'!C12</f>
        <v>153175682.82665208</v>
      </c>
      <c r="D12" s="109">
        <v>151541093</v>
      </c>
      <c r="E12" s="104">
        <f t="shared" si="0"/>
        <v>1.010786446067484</v>
      </c>
      <c r="G12" s="105">
        <f>'2 Podpora vědy'!E13+'4.6 RUK'!D12</f>
        <v>38921651</v>
      </c>
      <c r="H12" s="109">
        <v>36114237</v>
      </c>
      <c r="I12" s="106">
        <f t="shared" si="1"/>
        <v>1.0777370431500464</v>
      </c>
      <c r="K12" s="107">
        <f>'3 SVV'!C12</f>
        <v>4094000</v>
      </c>
      <c r="L12" s="109">
        <v>3722000</v>
      </c>
      <c r="M12" s="108">
        <f t="shared" si="2"/>
        <v>1.0999462654486836</v>
      </c>
      <c r="O12" s="109">
        <f>'4.4. Nemovitosti'!J12+'4.5 Rozvoj'!E12</f>
        <v>7191596.9195799865</v>
      </c>
      <c r="P12" s="109">
        <v>5323449</v>
      </c>
      <c r="Q12" s="110">
        <f t="shared" si="3"/>
        <v>1.3509281143822336</v>
      </c>
      <c r="R12" s="111"/>
      <c r="S12" s="109">
        <f t="shared" si="5"/>
        <v>203382930.74623206</v>
      </c>
      <c r="T12" s="109">
        <f t="shared" si="6"/>
        <v>196700779</v>
      </c>
      <c r="U12" s="110">
        <f t="shared" si="4"/>
        <v>1.0339711503950477</v>
      </c>
      <c r="V12" s="13" t="s">
        <v>384</v>
      </c>
      <c r="W12" s="14" t="s">
        <v>24</v>
      </c>
      <c r="X12" s="11"/>
    </row>
    <row r="13" spans="1:24" ht="12.75" customHeight="1">
      <c r="A13" s="13" t="s">
        <v>385</v>
      </c>
      <c r="B13" s="27" t="s">
        <v>31</v>
      </c>
      <c r="C13" s="48">
        <f>'1 Příspěvek na vzdělávání'!E13+'5 Koheze'!J13+'5 Koheze'!K13+'4.6 RUK'!C13</f>
        <v>132768520.27186549</v>
      </c>
      <c r="D13" s="109">
        <v>130975213</v>
      </c>
      <c r="E13" s="104">
        <f t="shared" si="0"/>
        <v>1.013691959194336</v>
      </c>
      <c r="G13" s="105">
        <f>'2 Podpora vědy'!E14+'4.6 RUK'!D13</f>
        <v>57101684</v>
      </c>
      <c r="H13" s="109">
        <v>52982947</v>
      </c>
      <c r="I13" s="106">
        <f t="shared" si="1"/>
        <v>1.0777370311243728</v>
      </c>
      <c r="K13" s="107">
        <f>'3 SVV'!C13</f>
        <v>4740185</v>
      </c>
      <c r="L13" s="109">
        <v>4753000</v>
      </c>
      <c r="M13" s="108">
        <f t="shared" si="2"/>
        <v>0.9973038081211866</v>
      </c>
      <c r="O13" s="109">
        <f>'4.4. Nemovitosti'!J13+'4.5 Rozvoj'!E13</f>
        <v>7400332.737526522</v>
      </c>
      <c r="P13" s="109">
        <v>5374058</v>
      </c>
      <c r="Q13" s="110">
        <f t="shared" si="3"/>
        <v>1.3770474262701522</v>
      </c>
      <c r="R13" s="111"/>
      <c r="S13" s="109">
        <f t="shared" si="5"/>
        <v>202010722.00939202</v>
      </c>
      <c r="T13" s="109">
        <f t="shared" si="6"/>
        <v>194085218</v>
      </c>
      <c r="U13" s="110">
        <f t="shared" si="4"/>
        <v>1.0408351758627596</v>
      </c>
      <c r="V13" s="13" t="s">
        <v>385</v>
      </c>
      <c r="W13" s="14" t="s">
        <v>31</v>
      </c>
      <c r="X13" s="11"/>
    </row>
    <row r="14" spans="1:24" ht="12.75" customHeight="1">
      <c r="A14" s="13" t="s">
        <v>386</v>
      </c>
      <c r="B14" s="27" t="s">
        <v>37</v>
      </c>
      <c r="C14" s="48">
        <f>'1 Příspěvek na vzdělávání'!E14+'5 Koheze'!J14+'5 Koheze'!K14+'4.6 RUK'!C14</f>
        <v>284203999.9064229</v>
      </c>
      <c r="D14" s="109">
        <v>282441672</v>
      </c>
      <c r="E14" s="104">
        <f t="shared" si="0"/>
        <v>1.0062396171710204</v>
      </c>
      <c r="G14" s="105">
        <f>'2 Podpora vědy'!E15+'4.6 RUK'!D14</f>
        <v>117375426</v>
      </c>
      <c r="H14" s="109">
        <v>108909152</v>
      </c>
      <c r="I14" s="106">
        <f t="shared" si="1"/>
        <v>1.0777370298503473</v>
      </c>
      <c r="K14" s="107">
        <f>'3 SVV'!C14</f>
        <v>13071000</v>
      </c>
      <c r="L14" s="109">
        <v>12923000</v>
      </c>
      <c r="M14" s="108">
        <f t="shared" si="2"/>
        <v>1.011452449121721</v>
      </c>
      <c r="O14" s="109">
        <f>'4.4. Nemovitosti'!J14+'4.5 Rozvoj'!E14</f>
        <v>7642349.813417459</v>
      </c>
      <c r="P14" s="109">
        <v>7588049</v>
      </c>
      <c r="Q14" s="110">
        <f t="shared" si="3"/>
        <v>1.0071560968329882</v>
      </c>
      <c r="R14" s="111"/>
      <c r="S14" s="109">
        <f t="shared" si="5"/>
        <v>422292775.71984035</v>
      </c>
      <c r="T14" s="109">
        <f t="shared" si="6"/>
        <v>411861873</v>
      </c>
      <c r="U14" s="110">
        <f t="shared" si="4"/>
        <v>1.0253262159079248</v>
      </c>
      <c r="V14" s="13" t="s">
        <v>386</v>
      </c>
      <c r="W14" s="14" t="s">
        <v>37</v>
      </c>
      <c r="X14" s="11"/>
    </row>
    <row r="15" spans="1:24" ht="12.75" customHeight="1">
      <c r="A15" s="13" t="s">
        <v>387</v>
      </c>
      <c r="B15" s="27" t="s">
        <v>72</v>
      </c>
      <c r="C15" s="48">
        <f>'1 Příspěvek na vzdělávání'!E15+'5 Koheze'!J15+'5 Koheze'!K15+'4.6 RUK'!C15</f>
        <v>418393200.2012989</v>
      </c>
      <c r="D15" s="109">
        <v>413296024</v>
      </c>
      <c r="E15" s="104">
        <f t="shared" si="0"/>
        <v>1.0123329911378458</v>
      </c>
      <c r="G15" s="105">
        <f>'2 Podpora vědy'!E16+'4.6 RUK'!D15</f>
        <v>305663682</v>
      </c>
      <c r="H15" s="109">
        <v>283616200</v>
      </c>
      <c r="I15" s="106">
        <f t="shared" si="1"/>
        <v>1.0777370333570508</v>
      </c>
      <c r="K15" s="107">
        <f>'3 SVV'!C15</f>
        <v>27150000</v>
      </c>
      <c r="L15" s="109">
        <v>25499000</v>
      </c>
      <c r="M15" s="108">
        <f t="shared" si="2"/>
        <v>1.0647476371622417</v>
      </c>
      <c r="O15" s="109">
        <f>'4.4. Nemovitosti'!J15+'4.5 Rozvoj'!E15</f>
        <v>25325928.748482633</v>
      </c>
      <c r="P15" s="109">
        <v>22533526</v>
      </c>
      <c r="Q15" s="110">
        <f t="shared" si="3"/>
        <v>1.1239221393262038</v>
      </c>
      <c r="R15" s="111"/>
      <c r="S15" s="109">
        <f t="shared" si="5"/>
        <v>776532810.9497815</v>
      </c>
      <c r="T15" s="109">
        <f t="shared" si="6"/>
        <v>744944750</v>
      </c>
      <c r="U15" s="110">
        <f t="shared" si="4"/>
        <v>1.0424032264805967</v>
      </c>
      <c r="V15" s="13" t="s">
        <v>387</v>
      </c>
      <c r="W15" s="14" t="s">
        <v>72</v>
      </c>
      <c r="X15" s="11"/>
    </row>
    <row r="16" spans="1:24" ht="12.75" customHeight="1">
      <c r="A16" s="13" t="s">
        <v>388</v>
      </c>
      <c r="B16" s="27" t="s">
        <v>81</v>
      </c>
      <c r="C16" s="48">
        <f>'1 Příspěvek na vzdělávání'!E16+'5 Koheze'!J16+'5 Koheze'!K16+'4.6 RUK'!C16</f>
        <v>268125276.08180758</v>
      </c>
      <c r="D16" s="109">
        <v>265683410</v>
      </c>
      <c r="E16" s="104">
        <f t="shared" si="0"/>
        <v>1.0091908865585832</v>
      </c>
      <c r="G16" s="105">
        <f>'2 Podpora vědy'!E17+'4.6 RUK'!D16</f>
        <v>373340804</v>
      </c>
      <c r="H16" s="109">
        <v>346411780</v>
      </c>
      <c r="I16" s="106">
        <f t="shared" si="1"/>
        <v>1.0777370330766465</v>
      </c>
      <c r="K16" s="107">
        <f>'3 SVV'!C16</f>
        <v>18000021</v>
      </c>
      <c r="L16" s="109">
        <v>20752000</v>
      </c>
      <c r="M16" s="108">
        <f t="shared" si="2"/>
        <v>0.8673872879722436</v>
      </c>
      <c r="O16" s="109">
        <f>'4.4. Nemovitosti'!J16+'4.5 Rozvoj'!E16</f>
        <v>22384168.46238082</v>
      </c>
      <c r="P16" s="109">
        <v>20452615</v>
      </c>
      <c r="Q16" s="110">
        <f t="shared" si="3"/>
        <v>1.094440415681849</v>
      </c>
      <c r="R16" s="111"/>
      <c r="S16" s="109">
        <f t="shared" si="5"/>
        <v>681850269.5441884</v>
      </c>
      <c r="T16" s="109">
        <f t="shared" si="6"/>
        <v>653299805</v>
      </c>
      <c r="U16" s="110">
        <f t="shared" si="4"/>
        <v>1.0437019333630269</v>
      </c>
      <c r="V16" s="13" t="s">
        <v>388</v>
      </c>
      <c r="W16" s="14" t="s">
        <v>81</v>
      </c>
      <c r="X16" s="11"/>
    </row>
    <row r="17" spans="1:24" ht="12.75" customHeight="1">
      <c r="A17" s="13" t="s">
        <v>389</v>
      </c>
      <c r="B17" s="27" t="s">
        <v>87</v>
      </c>
      <c r="C17" s="48">
        <f>'1 Příspěvek na vzdělávání'!E17+'5 Koheze'!J17+'5 Koheze'!K17+'4.6 RUK'!C17</f>
        <v>195921154.84897777</v>
      </c>
      <c r="D17" s="109">
        <v>193663624</v>
      </c>
      <c r="E17" s="104">
        <f t="shared" si="0"/>
        <v>1.0116569689358792</v>
      </c>
      <c r="G17" s="105">
        <f>'2 Podpora vědy'!E18+'4.6 RUK'!D17</f>
        <v>25856376</v>
      </c>
      <c r="H17" s="109">
        <v>23991359</v>
      </c>
      <c r="I17" s="106">
        <f t="shared" si="1"/>
        <v>1.0777370302365947</v>
      </c>
      <c r="K17" s="107">
        <f>'3 SVV'!C17</f>
        <v>3442000</v>
      </c>
      <c r="L17" s="109">
        <v>3415000</v>
      </c>
      <c r="M17" s="108">
        <f t="shared" si="2"/>
        <v>1.0079062957540263</v>
      </c>
      <c r="O17" s="109">
        <f>'4.4. Nemovitosti'!J17+'4.5 Rozvoj'!E17</f>
        <v>3380257.885489889</v>
      </c>
      <c r="P17" s="109">
        <v>3827315</v>
      </c>
      <c r="Q17" s="110">
        <f t="shared" si="3"/>
        <v>0.8831930179485851</v>
      </c>
      <c r="R17" s="111"/>
      <c r="S17" s="109">
        <f t="shared" si="5"/>
        <v>228599788.73446766</v>
      </c>
      <c r="T17" s="109">
        <f t="shared" si="6"/>
        <v>224897298</v>
      </c>
      <c r="U17" s="1150">
        <f t="shared" si="4"/>
        <v>1.0164630289798664</v>
      </c>
      <c r="V17" s="13" t="s">
        <v>389</v>
      </c>
      <c r="W17" s="14" t="s">
        <v>87</v>
      </c>
      <c r="X17" s="11"/>
    </row>
    <row r="18" spans="1:24" ht="12.75" customHeight="1">
      <c r="A18" s="13" t="s">
        <v>390</v>
      </c>
      <c r="B18" s="41" t="s">
        <v>45</v>
      </c>
      <c r="C18" s="48">
        <f>'1 Příspěvek na vzdělávání'!E18+'5 Koheze'!J18+'5 Koheze'!K18+'4.6 RUK'!C18</f>
        <v>214765668.55781102</v>
      </c>
      <c r="D18" s="109">
        <v>204073566</v>
      </c>
      <c r="E18" s="104">
        <f t="shared" si="0"/>
        <v>1.0523933734651896</v>
      </c>
      <c r="G18" s="105">
        <f>'2 Podpora vědy'!E19+'4.6 RUK'!D18</f>
        <v>47080743</v>
      </c>
      <c r="H18" s="109">
        <v>43684815</v>
      </c>
      <c r="I18" s="106">
        <f t="shared" si="1"/>
        <v>1.0777370351688567</v>
      </c>
      <c r="K18" s="107">
        <f>'3 SVV'!C18</f>
        <v>6198000</v>
      </c>
      <c r="L18" s="109">
        <v>5334000</v>
      </c>
      <c r="M18" s="108">
        <f t="shared" si="2"/>
        <v>1.1619797525309337</v>
      </c>
      <c r="O18" s="109">
        <f>'4.4. Nemovitosti'!J18+'4.5 Rozvoj'!E18</f>
        <v>8707610.545422884</v>
      </c>
      <c r="P18" s="109">
        <v>7454165</v>
      </c>
      <c r="Q18" s="110">
        <f t="shared" si="3"/>
        <v>1.1681537161335822</v>
      </c>
      <c r="R18" s="111"/>
      <c r="S18" s="109">
        <f t="shared" si="5"/>
        <v>276752022.10323393</v>
      </c>
      <c r="T18" s="109">
        <f t="shared" si="6"/>
        <v>260546546</v>
      </c>
      <c r="U18" s="1126">
        <f t="shared" si="4"/>
        <v>1.062198007810988</v>
      </c>
      <c r="V18" s="13" t="s">
        <v>390</v>
      </c>
      <c r="W18" s="14" t="s">
        <v>45</v>
      </c>
      <c r="X18" s="11"/>
    </row>
    <row r="19" spans="1:24" ht="12.75" customHeight="1">
      <c r="A19" s="13" t="s">
        <v>391</v>
      </c>
      <c r="B19" s="27" t="s">
        <v>94</v>
      </c>
      <c r="C19" s="48">
        <f>'1 Příspěvek na vzdělávání'!E19+'5 Koheze'!J19+'5 Koheze'!K19+'4.6 RUK'!C19</f>
        <v>114538297.71690284</v>
      </c>
      <c r="D19" s="109">
        <v>112269720</v>
      </c>
      <c r="E19" s="104">
        <f t="shared" si="0"/>
        <v>1.0202064966128253</v>
      </c>
      <c r="G19" s="105">
        <f>'2 Podpora vědy'!E20+'4.6 RUK'!D19</f>
        <v>10592282</v>
      </c>
      <c r="H19" s="109">
        <v>9828262</v>
      </c>
      <c r="I19" s="106">
        <f t="shared" si="1"/>
        <v>1.0777370403841493</v>
      </c>
      <c r="K19" s="107">
        <f>'3 SVV'!C19</f>
        <v>1843000</v>
      </c>
      <c r="L19" s="109">
        <v>1546000</v>
      </c>
      <c r="M19" s="108">
        <f t="shared" si="2"/>
        <v>1.1921086675291073</v>
      </c>
      <c r="O19" s="109">
        <f>'4.4. Nemovitosti'!J19+'4.5 Rozvoj'!E19</f>
        <v>14969382.970531588</v>
      </c>
      <c r="P19" s="109">
        <v>16732624</v>
      </c>
      <c r="Q19" s="110">
        <f t="shared" si="3"/>
        <v>0.8946225631157186</v>
      </c>
      <c r="R19" s="111"/>
      <c r="S19" s="109">
        <f t="shared" si="5"/>
        <v>141942962.68743443</v>
      </c>
      <c r="T19" s="109">
        <f t="shared" si="6"/>
        <v>140376606</v>
      </c>
      <c r="U19" s="1126">
        <f t="shared" si="4"/>
        <v>1.0111582458934392</v>
      </c>
      <c r="V19" s="13" t="s">
        <v>391</v>
      </c>
      <c r="W19" s="14" t="s">
        <v>94</v>
      </c>
      <c r="X19" s="11"/>
    </row>
    <row r="20" spans="1:24" ht="12.75" customHeight="1">
      <c r="A20" s="13" t="s">
        <v>392</v>
      </c>
      <c r="B20" s="27" t="s">
        <v>58</v>
      </c>
      <c r="C20" s="48">
        <f>'1 Příspěvek na vzdělávání'!E20+'5 Koheze'!J20+'5 Koheze'!K20+'4.6 RUK'!C20</f>
        <v>97569084.94878846</v>
      </c>
      <c r="D20" s="109">
        <v>97269833</v>
      </c>
      <c r="E20" s="104">
        <f t="shared" si="0"/>
        <v>1.0030765134426463</v>
      </c>
      <c r="G20" s="105">
        <f>'2 Podpora vědy'!E21+'4.6 RUK'!D20</f>
        <v>24514064</v>
      </c>
      <c r="H20" s="109">
        <v>22745868</v>
      </c>
      <c r="I20" s="106">
        <f t="shared" si="1"/>
        <v>1.0777370201919751</v>
      </c>
      <c r="K20" s="107">
        <f>'3 SVV'!C20</f>
        <v>3264000</v>
      </c>
      <c r="L20" s="109">
        <v>3045000</v>
      </c>
      <c r="M20" s="108">
        <f t="shared" si="2"/>
        <v>1.0719211822660097</v>
      </c>
      <c r="O20" s="109">
        <f>'4.4. Nemovitosti'!J20+'4.5 Rozvoj'!E20</f>
        <v>6817004.423971298</v>
      </c>
      <c r="P20" s="109">
        <v>4546170</v>
      </c>
      <c r="Q20" s="110">
        <f t="shared" si="3"/>
        <v>1.4995049511943677</v>
      </c>
      <c r="R20" s="111"/>
      <c r="S20" s="109">
        <f t="shared" si="5"/>
        <v>132164153.37275976</v>
      </c>
      <c r="T20" s="109">
        <f t="shared" si="6"/>
        <v>127606871</v>
      </c>
      <c r="U20" s="110">
        <f t="shared" si="4"/>
        <v>1.035713456000028</v>
      </c>
      <c r="V20" s="13" t="s">
        <v>392</v>
      </c>
      <c r="W20" s="14" t="s">
        <v>58</v>
      </c>
      <c r="X20" s="11"/>
    </row>
    <row r="21" spans="1:24" ht="12.75" customHeight="1">
      <c r="A21" s="29" t="s">
        <v>393</v>
      </c>
      <c r="B21" s="78" t="s">
        <v>373</v>
      </c>
      <c r="C21" s="48">
        <f>'1 Příspěvek na vzdělávání'!E21+'5 Koheze'!J21+'5 Koheze'!K21+'4.6 RUK'!C21</f>
        <v>9867269.450970173</v>
      </c>
      <c r="D21" s="109">
        <v>11587304</v>
      </c>
      <c r="E21" s="104">
        <f t="shared" si="0"/>
        <v>0.8515586931153418</v>
      </c>
      <c r="G21" s="105">
        <f>'2 Podpora vědy'!E22+'4.6 RUK'!D21</f>
        <v>8019816</v>
      </c>
      <c r="H21" s="109">
        <v>7441448.079789395</v>
      </c>
      <c r="I21" s="106">
        <f t="shared" si="1"/>
        <v>1.0777224962143355</v>
      </c>
      <c r="K21" s="107">
        <f>'3 SVV'!C21</f>
        <v>1092000</v>
      </c>
      <c r="L21" s="109">
        <v>688312</v>
      </c>
      <c r="M21" s="108">
        <f t="shared" si="2"/>
        <v>1.5864898476272389</v>
      </c>
      <c r="O21" s="109">
        <f>'4.4. Nemovitosti'!J21+'4.5 Rozvoj'!E21</f>
        <v>71933.55672950743</v>
      </c>
      <c r="P21" s="109">
        <v>65596</v>
      </c>
      <c r="Q21" s="110">
        <f t="shared" si="3"/>
        <v>1.0966149876441769</v>
      </c>
      <c r="R21" s="111"/>
      <c r="S21" s="109">
        <f>C21+G21+K21+O21</f>
        <v>19051019.00769968</v>
      </c>
      <c r="T21" s="109">
        <f t="shared" si="6"/>
        <v>19782660.079789396</v>
      </c>
      <c r="U21" s="110">
        <f>IF(T21=0,0,S21/T21)</f>
        <v>0.9630160418700625</v>
      </c>
      <c r="V21" s="13" t="s">
        <v>393</v>
      </c>
      <c r="W21" s="14" t="s">
        <v>373</v>
      </c>
      <c r="X21" s="11"/>
    </row>
    <row r="22" spans="1:24" ht="12.75" customHeight="1">
      <c r="A22" s="49" t="s">
        <v>421</v>
      </c>
      <c r="B22" s="68"/>
      <c r="C22" s="48">
        <f>'1 Příspěvek na vzdělávání'!E22+'5 Koheze'!J22+'5 Koheze'!K22+'4.6 RUK'!C22</f>
        <v>3075041090.45097</v>
      </c>
      <c r="D22" s="103">
        <v>3037659359</v>
      </c>
      <c r="E22" s="1123">
        <f t="shared" si="0"/>
        <v>1.0123060972390518</v>
      </c>
      <c r="G22" s="105">
        <f>SUM(G4:G21)</f>
        <v>1346880136</v>
      </c>
      <c r="H22" s="103">
        <v>1249729946.0797894</v>
      </c>
      <c r="I22" s="1124">
        <f t="shared" si="1"/>
        <v>1.07773694646988</v>
      </c>
      <c r="K22" s="107">
        <f>SUM(K4:K21)</f>
        <v>122705706</v>
      </c>
      <c r="L22" s="109">
        <v>115393312</v>
      </c>
      <c r="M22" s="1125">
        <f t="shared" si="2"/>
        <v>1.0633693051465583</v>
      </c>
      <c r="O22" s="109">
        <f>SUM(O4:O21)</f>
        <v>155396038.22437933</v>
      </c>
      <c r="P22" s="109">
        <v>130860231</v>
      </c>
      <c r="Q22" s="110">
        <f t="shared" si="3"/>
        <v>1.1874962854404507</v>
      </c>
      <c r="R22" s="110"/>
      <c r="S22" s="109">
        <f>SUM(S4:S21)</f>
        <v>4700022970.675349</v>
      </c>
      <c r="T22" s="109">
        <f>SUM(T4:T21)</f>
        <v>4533642848.079789</v>
      </c>
      <c r="U22" s="110">
        <f t="shared" si="4"/>
        <v>1.0366989919962553</v>
      </c>
      <c r="V22" s="49" t="s">
        <v>421</v>
      </c>
      <c r="W22" s="50"/>
      <c r="X22" s="11"/>
    </row>
    <row r="23" spans="1:23" ht="12.75" customHeight="1">
      <c r="A23" s="30"/>
      <c r="B23" s="31"/>
      <c r="C23">
        <f>'1 Příspěvek na vzdělávání'!E23+'5 Koheze'!J23+'5 Koheze'!K23+'4.6 RUK'!C23</f>
        <v>0</v>
      </c>
      <c r="D23">
        <v>0</v>
      </c>
      <c r="L23" s="1"/>
      <c r="O23" s="16"/>
      <c r="P23" s="16"/>
      <c r="Q23" s="16"/>
      <c r="R23" s="16"/>
      <c r="S23" s="16"/>
      <c r="T23" s="16"/>
      <c r="U23" s="16"/>
      <c r="V23" s="30"/>
      <c r="W23" s="31"/>
    </row>
    <row r="24" spans="1:24" ht="12.75" customHeight="1">
      <c r="A24" s="33" t="s">
        <v>401</v>
      </c>
      <c r="B24" s="34" t="s">
        <v>402</v>
      </c>
      <c r="C24" s="48">
        <f>'1 Příspěvek na vzdělávání'!E24+'5 Koheze'!J24+'5 Koheze'!K24+'4.6 RUK'!C24</f>
        <v>0</v>
      </c>
      <c r="D24" s="103">
        <v>0</v>
      </c>
      <c r="E24" s="104">
        <f aca="true" t="shared" si="7" ref="E24:E35">IF(D24=0,0,C24/D24)</f>
        <v>0</v>
      </c>
      <c r="G24" s="105">
        <f>'2 Podpora vědy'!E25+'4.6 RUK'!D24</f>
        <v>0</v>
      </c>
      <c r="H24" s="103">
        <v>0</v>
      </c>
      <c r="I24" s="106">
        <f aca="true" t="shared" si="8" ref="I24:I38">IF(H24=0,0,G24/H24)</f>
        <v>0</v>
      </c>
      <c r="K24" s="107">
        <f>'3 SVV'!C24</f>
        <v>0</v>
      </c>
      <c r="L24" s="103">
        <v>0</v>
      </c>
      <c r="M24" s="108">
        <f aca="true" t="shared" si="9" ref="M24:M37">IF(L24=0,0,K24/L24)</f>
        <v>0</v>
      </c>
      <c r="O24" s="109">
        <f>'4.4. Nemovitosti'!J24+'4.5 Rozvoj'!E24</f>
        <v>0</v>
      </c>
      <c r="P24" s="109">
        <v>0</v>
      </c>
      <c r="Q24" s="110">
        <f aca="true" t="shared" si="10" ref="Q24:Q37">IF(P24=0,0,O24/P24)</f>
        <v>0</v>
      </c>
      <c r="R24" s="111"/>
      <c r="S24" s="109">
        <f>C24+G24+K24+O24</f>
        <v>0</v>
      </c>
      <c r="T24" s="109"/>
      <c r="U24" s="110">
        <f aca="true" t="shared" si="11" ref="U24:U37">IF(T24=0,0,S24/T24)</f>
        <v>0</v>
      </c>
      <c r="V24" s="33" t="s">
        <v>401</v>
      </c>
      <c r="W24" s="34" t="s">
        <v>402</v>
      </c>
      <c r="X24" s="11"/>
    </row>
    <row r="25" spans="1:25" ht="12.75" customHeight="1">
      <c r="A25" s="112" t="s">
        <v>403</v>
      </c>
      <c r="B25" s="113" t="s">
        <v>419</v>
      </c>
      <c r="C25" s="48">
        <f>'1 Příspěvek na vzdělávání'!E25+'5 Koheze'!J25+'5 Koheze'!K25+'4.6 RUK'!C25</f>
        <v>176481398</v>
      </c>
      <c r="D25" s="115">
        <v>174338725</v>
      </c>
      <c r="E25" s="116">
        <f t="shared" si="7"/>
        <v>1.0122902871980968</v>
      </c>
      <c r="G25" s="117">
        <f>'2 Podpora vědy'!E26+'4.6 RUK'!D25</f>
        <v>129697608</v>
      </c>
      <c r="H25" s="115">
        <v>120347582.9198219</v>
      </c>
      <c r="I25" s="118">
        <f t="shared" si="8"/>
        <v>1.0776918393650439</v>
      </c>
      <c r="K25" s="119">
        <f>'3 SVV'!C25</f>
        <v>0</v>
      </c>
      <c r="L25" s="115">
        <v>0</v>
      </c>
      <c r="M25" s="120">
        <f t="shared" si="9"/>
        <v>0</v>
      </c>
      <c r="O25" s="109">
        <f>'4.4. Nemovitosti'!J25+'4.5 Rozvoj'!E25</f>
        <v>6566008.740275284</v>
      </c>
      <c r="P25" s="121">
        <v>5294240</v>
      </c>
      <c r="Q25" s="122">
        <f t="shared" si="10"/>
        <v>1.240217432582445</v>
      </c>
      <c r="R25" s="123"/>
      <c r="S25" s="109">
        <f>C25+G25+K25+O25</f>
        <v>312745014.74027526</v>
      </c>
      <c r="T25" s="121">
        <f>SUM(T26:T32)</f>
        <v>299980547.91982186</v>
      </c>
      <c r="U25" s="122">
        <f t="shared" si="11"/>
        <v>1.0425509817518737</v>
      </c>
      <c r="V25" s="112" t="s">
        <v>403</v>
      </c>
      <c r="W25" s="113" t="s">
        <v>419</v>
      </c>
      <c r="X25" s="11"/>
      <c r="Y25" s="369"/>
    </row>
    <row r="26" spans="1:24" ht="12.75" customHeight="1">
      <c r="A26" s="83" t="s">
        <v>405</v>
      </c>
      <c r="B26" s="750" t="s">
        <v>406</v>
      </c>
      <c r="C26" s="753">
        <f>'1 Příspěvek na vzdělávání'!E26+'5 Koheze'!J26+'5 Koheze'!K26+'4.6 RUK'!C26</f>
        <v>100124672</v>
      </c>
      <c r="D26" s="731">
        <v>98909051</v>
      </c>
      <c r="E26" s="756">
        <f t="shared" si="7"/>
        <v>1.0122902908046303</v>
      </c>
      <c r="F26" s="728"/>
      <c r="G26" s="719">
        <f>'2 Podpora vědy'!E27+'4.6 RUK'!D26</f>
        <v>75826923</v>
      </c>
      <c r="H26" s="722">
        <v>70360945.42306401</v>
      </c>
      <c r="I26" s="725">
        <f t="shared" si="8"/>
        <v>1.0776848227958045</v>
      </c>
      <c r="J26" s="728"/>
      <c r="K26" s="731">
        <f>'3 SVV'!C26</f>
        <v>0</v>
      </c>
      <c r="L26" s="734">
        <v>0</v>
      </c>
      <c r="M26" s="735">
        <f t="shared" si="9"/>
        <v>0</v>
      </c>
      <c r="N26" s="728"/>
      <c r="O26" s="738">
        <f>'4.4. Nemovitosti'!J26+'4.5 Rozvoj'!E26</f>
        <v>3495858.708674278</v>
      </c>
      <c r="P26" s="738">
        <v>3505658</v>
      </c>
      <c r="Q26" s="741">
        <f t="shared" si="10"/>
        <v>0.9972047212461336</v>
      </c>
      <c r="R26" s="744"/>
      <c r="S26" s="738">
        <f>C26+G26+K26+O26</f>
        <v>179447453.70867428</v>
      </c>
      <c r="T26" s="738">
        <f>D26+H26+L26+P26</f>
        <v>172775654.423064</v>
      </c>
      <c r="U26" s="741">
        <f t="shared" si="11"/>
        <v>1.0386153900437471</v>
      </c>
      <c r="V26" s="747" t="s">
        <v>405</v>
      </c>
      <c r="W26" s="124" t="s">
        <v>406</v>
      </c>
      <c r="X26" s="11"/>
    </row>
    <row r="27" spans="1:26" s="6" customFormat="1" ht="12.75" customHeight="1">
      <c r="A27" s="84"/>
      <c r="B27" s="331" t="s">
        <v>407</v>
      </c>
      <c r="C27" s="754">
        <f>'1 Příspěvek na vzdělávání'!E27+'5 Koheze'!J27+'5 Koheze'!K27+'4.6 RUK'!C27</f>
        <v>0</v>
      </c>
      <c r="D27" s="732">
        <v>0</v>
      </c>
      <c r="E27" s="757">
        <f t="shared" si="7"/>
        <v>0</v>
      </c>
      <c r="F27" s="729"/>
      <c r="G27" s="720">
        <f>'2 Podpora vědy'!E28+'4.6 RUK'!D27</f>
        <v>9600374</v>
      </c>
      <c r="H27" s="723">
        <v>8908000.079789396</v>
      </c>
      <c r="I27" s="726">
        <f t="shared" si="8"/>
        <v>1.0777249566691711</v>
      </c>
      <c r="J27" s="729"/>
      <c r="K27" s="732">
        <f>'3 SVV'!C27</f>
        <v>0</v>
      </c>
      <c r="L27" s="732">
        <v>0</v>
      </c>
      <c r="M27" s="736">
        <f t="shared" si="9"/>
        <v>0</v>
      </c>
      <c r="N27" s="729"/>
      <c r="O27" s="739">
        <f>'4.4. Nemovitosti'!J27+'4.5 Rozvoj'!E27</f>
        <v>0</v>
      </c>
      <c r="P27" s="739">
        <v>0</v>
      </c>
      <c r="Q27" s="742">
        <f t="shared" si="10"/>
        <v>0</v>
      </c>
      <c r="R27" s="745"/>
      <c r="S27" s="739">
        <f aca="true" t="shared" si="12" ref="S27:T36">C27+G27+K27+O27</f>
        <v>9600374</v>
      </c>
      <c r="T27" s="739">
        <f t="shared" si="12"/>
        <v>8908000.079789396</v>
      </c>
      <c r="U27" s="742">
        <f t="shared" si="11"/>
        <v>1.0777249566691711</v>
      </c>
      <c r="V27" s="748"/>
      <c r="W27" s="125" t="s">
        <v>407</v>
      </c>
      <c r="Y27"/>
      <c r="Z27"/>
    </row>
    <row r="28" spans="1:26" s="6" customFormat="1" ht="12.75" customHeight="1">
      <c r="A28" s="84"/>
      <c r="B28" s="331" t="s">
        <v>408</v>
      </c>
      <c r="C28" s="754">
        <f>'1 Příspěvek na vzdělávání'!E28+'5 Koheze'!J28+'5 Koheze'!K28+'4.6 RUK'!C28</f>
        <v>0</v>
      </c>
      <c r="D28" s="732">
        <v>0</v>
      </c>
      <c r="E28" s="757">
        <f t="shared" si="7"/>
        <v>0</v>
      </c>
      <c r="F28" s="729"/>
      <c r="G28" s="720">
        <f>'2 Podpora vědy'!E29+'4.6 RUK'!D28</f>
        <v>13226924</v>
      </c>
      <c r="H28" s="723">
        <v>12273151.892736621</v>
      </c>
      <c r="I28" s="726">
        <f t="shared" si="8"/>
        <v>1.077712075561277</v>
      </c>
      <c r="J28" s="729"/>
      <c r="K28" s="732">
        <f>'3 SVV'!C28</f>
        <v>0</v>
      </c>
      <c r="L28" s="732">
        <v>0</v>
      </c>
      <c r="M28" s="736">
        <f t="shared" si="9"/>
        <v>0</v>
      </c>
      <c r="N28" s="729"/>
      <c r="O28" s="739">
        <f>'4.4. Nemovitosti'!J28+'4.5 Rozvoj'!E28</f>
        <v>60039.0316010062</v>
      </c>
      <c r="P28" s="739">
        <v>60802</v>
      </c>
      <c r="Q28" s="742">
        <f t="shared" si="10"/>
        <v>0.987451590424759</v>
      </c>
      <c r="R28" s="745"/>
      <c r="S28" s="739">
        <f t="shared" si="12"/>
        <v>13286963.031601006</v>
      </c>
      <c r="T28" s="739">
        <f t="shared" si="12"/>
        <v>12333953.892736621</v>
      </c>
      <c r="U28" s="742">
        <f t="shared" si="11"/>
        <v>1.0772671235154856</v>
      </c>
      <c r="V28" s="748"/>
      <c r="W28" s="125" t="s">
        <v>408</v>
      </c>
      <c r="Y28"/>
      <c r="Z28"/>
    </row>
    <row r="29" spans="1:26" s="6" customFormat="1" ht="12.75" customHeight="1">
      <c r="A29" s="84"/>
      <c r="B29" s="331" t="s">
        <v>409</v>
      </c>
      <c r="C29" s="754">
        <f>'1 Příspěvek na vzdělávání'!E29+'5 Koheze'!J29+'5 Koheze'!K29+'4.6 RUK'!C29</f>
        <v>0</v>
      </c>
      <c r="D29" s="732">
        <v>0</v>
      </c>
      <c r="E29" s="757">
        <f t="shared" si="7"/>
        <v>0</v>
      </c>
      <c r="F29" s="729"/>
      <c r="G29" s="720">
        <f>'2 Podpora vědy'!E30+'4.6 RUK'!D29</f>
        <v>5329450</v>
      </c>
      <c r="H29" s="723">
        <v>4945277.301719112</v>
      </c>
      <c r="I29" s="726">
        <f t="shared" si="8"/>
        <v>1.0776847636324334</v>
      </c>
      <c r="J29" s="729"/>
      <c r="K29" s="732">
        <f>'3 SVV'!C29</f>
        <v>0</v>
      </c>
      <c r="L29" s="732">
        <v>0</v>
      </c>
      <c r="M29" s="736">
        <f t="shared" si="9"/>
        <v>0</v>
      </c>
      <c r="N29" s="729"/>
      <c r="O29" s="739">
        <f>'4.4. Nemovitosti'!J29+'4.5 Rozvoj'!E29</f>
        <v>0</v>
      </c>
      <c r="P29" s="739">
        <v>0</v>
      </c>
      <c r="Q29" s="742">
        <f t="shared" si="10"/>
        <v>0</v>
      </c>
      <c r="R29" s="745"/>
      <c r="S29" s="739">
        <f t="shared" si="12"/>
        <v>5329450</v>
      </c>
      <c r="T29" s="739">
        <f t="shared" si="12"/>
        <v>4945277.301719112</v>
      </c>
      <c r="U29" s="742">
        <f t="shared" si="11"/>
        <v>1.0776847636324334</v>
      </c>
      <c r="V29" s="748"/>
      <c r="W29" s="125" t="s">
        <v>409</v>
      </c>
      <c r="Y29"/>
      <c r="Z29"/>
    </row>
    <row r="30" spans="1:26" s="6" customFormat="1" ht="12.75" customHeight="1">
      <c r="A30" s="84"/>
      <c r="B30" s="331" t="s">
        <v>411</v>
      </c>
      <c r="C30" s="754">
        <f>'1 Příspěvek na vzdělávání'!E30+'5 Koheze'!J30+'5 Koheze'!K30+'4.6 RUK'!C30</f>
        <v>2078478</v>
      </c>
      <c r="D30" s="732">
        <v>2053243</v>
      </c>
      <c r="E30" s="757">
        <f t="shared" si="7"/>
        <v>1.012290313421256</v>
      </c>
      <c r="F30" s="729"/>
      <c r="G30" s="720">
        <f>'2 Podpora vědy'!E31+'4.6 RUK'!D30</f>
        <v>9387566</v>
      </c>
      <c r="H30" s="723">
        <v>8710722.36587219</v>
      </c>
      <c r="I30" s="726">
        <f t="shared" si="8"/>
        <v>1.0777023541445452</v>
      </c>
      <c r="J30" s="729"/>
      <c r="K30" s="732">
        <f>'3 SVV'!C30</f>
        <v>0</v>
      </c>
      <c r="L30" s="732">
        <v>0</v>
      </c>
      <c r="M30" s="736">
        <f t="shared" si="9"/>
        <v>0</v>
      </c>
      <c r="N30" s="729"/>
      <c r="O30" s="739">
        <f>'4.4. Nemovitosti'!J30+'4.5 Rozvoj'!E30</f>
        <v>3010111</v>
      </c>
      <c r="P30" s="739">
        <v>1727780</v>
      </c>
      <c r="Q30" s="742">
        <f t="shared" si="10"/>
        <v>1.7421841901167974</v>
      </c>
      <c r="R30" s="745"/>
      <c r="S30" s="739">
        <f t="shared" si="12"/>
        <v>14476155</v>
      </c>
      <c r="T30" s="739">
        <f t="shared" si="12"/>
        <v>12491745.36587219</v>
      </c>
      <c r="U30" s="742">
        <f t="shared" si="11"/>
        <v>1.1588576756895217</v>
      </c>
      <c r="V30" s="748"/>
      <c r="W30" s="125" t="s">
        <v>411</v>
      </c>
      <c r="Y30" s="369"/>
      <c r="Z30"/>
    </row>
    <row r="31" spans="1:26" s="6" customFormat="1" ht="12.75" customHeight="1">
      <c r="A31" s="84"/>
      <c r="B31" s="751" t="s">
        <v>412</v>
      </c>
      <c r="C31" s="754">
        <f>'1 Příspěvek na vzdělávání'!E31+'5 Koheze'!J31+'5 Koheze'!K31+'4.6 RUK'!C31</f>
        <v>57978603</v>
      </c>
      <c r="D31" s="732">
        <v>57274681</v>
      </c>
      <c r="E31" s="757">
        <f t="shared" si="7"/>
        <v>1.012290282332607</v>
      </c>
      <c r="F31" s="729"/>
      <c r="G31" s="720">
        <f>'2 Podpora vědy'!E32+'4.6 RUK'!D31</f>
        <v>11560288</v>
      </c>
      <c r="H31" s="723">
        <v>10726965.140726868</v>
      </c>
      <c r="I31" s="726">
        <f t="shared" si="8"/>
        <v>1.0776848669069754</v>
      </c>
      <c r="J31" s="729"/>
      <c r="K31" s="732">
        <f>'3 SVV'!C31</f>
        <v>0</v>
      </c>
      <c r="L31" s="732">
        <v>0</v>
      </c>
      <c r="M31" s="736">
        <f t="shared" si="9"/>
        <v>0</v>
      </c>
      <c r="N31" s="729"/>
      <c r="O31" s="739">
        <f>'4.4. Nemovitosti'!J31+'4.5 Rozvoj'!E31</f>
        <v>0</v>
      </c>
      <c r="P31" s="739">
        <v>0</v>
      </c>
      <c r="Q31" s="742">
        <f t="shared" si="10"/>
        <v>0</v>
      </c>
      <c r="R31" s="745"/>
      <c r="S31" s="739">
        <f t="shared" si="12"/>
        <v>69538891</v>
      </c>
      <c r="T31" s="739">
        <f t="shared" si="12"/>
        <v>68001646.14072686</v>
      </c>
      <c r="U31" s="742">
        <f t="shared" si="11"/>
        <v>1.0226059948033002</v>
      </c>
      <c r="V31" s="748"/>
      <c r="W31" s="125" t="s">
        <v>412</v>
      </c>
      <c r="Y31"/>
      <c r="Z31"/>
    </row>
    <row r="32" spans="1:26" s="6" customFormat="1" ht="12.75" customHeight="1">
      <c r="A32" s="85"/>
      <c r="B32" s="752" t="s">
        <v>413</v>
      </c>
      <c r="C32" s="755">
        <f>'1 Příspěvek na vzdělávání'!E32+'5 Koheze'!J32+'5 Koheze'!K32+'4.6 RUK'!C32</f>
        <v>16299645</v>
      </c>
      <c r="D32" s="733">
        <v>16101750</v>
      </c>
      <c r="E32" s="758">
        <f t="shared" si="7"/>
        <v>1.0122902790069401</v>
      </c>
      <c r="F32" s="730"/>
      <c r="G32" s="721">
        <f>'2 Podpora vědy'!E33+'4.6 RUK'!D32</f>
        <v>4766083</v>
      </c>
      <c r="H32" s="724">
        <v>4422520.715913709</v>
      </c>
      <c r="I32" s="727">
        <f t="shared" si="8"/>
        <v>1.0776847201303181</v>
      </c>
      <c r="J32" s="730"/>
      <c r="K32" s="733">
        <f>'3 SVV'!C32</f>
        <v>0</v>
      </c>
      <c r="L32" s="733">
        <v>0</v>
      </c>
      <c r="M32" s="737">
        <f t="shared" si="9"/>
        <v>0</v>
      </c>
      <c r="N32" s="730"/>
      <c r="O32" s="740">
        <f>'4.4. Nemovitosti'!J32+'4.5 Rozvoj'!E32</f>
        <v>0</v>
      </c>
      <c r="P32" s="740">
        <v>0</v>
      </c>
      <c r="Q32" s="743">
        <f t="shared" si="10"/>
        <v>0</v>
      </c>
      <c r="R32" s="746"/>
      <c r="S32" s="740">
        <f>C32+G32+K32+O32</f>
        <v>21065728</v>
      </c>
      <c r="T32" s="740">
        <f t="shared" si="12"/>
        <v>20524270.71591371</v>
      </c>
      <c r="U32" s="743">
        <f t="shared" si="11"/>
        <v>1.0263813166168416</v>
      </c>
      <c r="V32" s="749"/>
      <c r="W32" s="126" t="s">
        <v>413</v>
      </c>
      <c r="Y32"/>
      <c r="Z32"/>
    </row>
    <row r="33" spans="1:24" ht="12.75" customHeight="1">
      <c r="A33" s="127" t="s">
        <v>414</v>
      </c>
      <c r="B33" s="128" t="s">
        <v>415</v>
      </c>
      <c r="C33" s="129">
        <f>'1 Příspěvek na vzdělávání'!E33+'5 Koheze'!J33+'5 Koheze'!K33+'4.6 RUK'!C33</f>
        <v>87843053</v>
      </c>
      <c r="D33" s="18">
        <v>86776544</v>
      </c>
      <c r="E33" s="130">
        <f t="shared" si="7"/>
        <v>1.0122902912565865</v>
      </c>
      <c r="G33" s="131">
        <f>'2 Podpora vědy'!E34+'4.6 RUK'!D33</f>
        <v>0</v>
      </c>
      <c r="H33" s="18">
        <v>0</v>
      </c>
      <c r="I33" s="132">
        <f t="shared" si="8"/>
        <v>0</v>
      </c>
      <c r="K33" s="133">
        <f>'3 SVV'!C33</f>
        <v>0</v>
      </c>
      <c r="L33" s="18">
        <v>0</v>
      </c>
      <c r="M33" s="134">
        <f t="shared" si="9"/>
        <v>0</v>
      </c>
      <c r="O33" s="135">
        <f>'4.4. Nemovitosti'!J33+'4.5 Rozvoj'!E33</f>
        <v>7268726.468908806</v>
      </c>
      <c r="P33" s="135">
        <v>7016074</v>
      </c>
      <c r="Q33" s="136">
        <f t="shared" si="10"/>
        <v>1.0360105194028464</v>
      </c>
      <c r="R33" s="137"/>
      <c r="S33" s="135">
        <f>C33+G33+K33+O33</f>
        <v>95111779.4689088</v>
      </c>
      <c r="T33" s="135">
        <f t="shared" si="12"/>
        <v>93792618</v>
      </c>
      <c r="U33" s="136">
        <f t="shared" si="11"/>
        <v>1.0140646619855391</v>
      </c>
      <c r="V33" s="127" t="s">
        <v>414</v>
      </c>
      <c r="W33" s="138" t="s">
        <v>415</v>
      </c>
      <c r="X33" s="11"/>
    </row>
    <row r="34" spans="1:24" ht="12.75" customHeight="1">
      <c r="A34" s="13" t="s">
        <v>416</v>
      </c>
      <c r="B34" s="27" t="s">
        <v>417</v>
      </c>
      <c r="C34" s="48">
        <f>'1 Příspěvek na vzdělávání'!E34+'5 Koheze'!J34+'5 Koheze'!K34+'4.6 RUK'!C34</f>
        <v>0</v>
      </c>
      <c r="D34" s="103">
        <v>0</v>
      </c>
      <c r="E34" s="104">
        <f t="shared" si="7"/>
        <v>0</v>
      </c>
      <c r="G34" s="105">
        <f>'2 Podpora vědy'!E35+'4.6 RUK'!D34</f>
        <v>0</v>
      </c>
      <c r="H34" s="103">
        <v>0</v>
      </c>
      <c r="I34" s="106">
        <f t="shared" si="8"/>
        <v>0</v>
      </c>
      <c r="K34" s="107">
        <f>'3 SVV'!C34</f>
        <v>0</v>
      </c>
      <c r="L34" s="103">
        <v>0</v>
      </c>
      <c r="M34" s="108">
        <f t="shared" si="9"/>
        <v>0</v>
      </c>
      <c r="O34" s="109">
        <f>'4.4. Nemovitosti'!J34+'4.5 Rozvoj'!E34</f>
        <v>0</v>
      </c>
      <c r="P34" s="109">
        <v>0</v>
      </c>
      <c r="Q34" s="110">
        <f t="shared" si="10"/>
        <v>0</v>
      </c>
      <c r="R34" s="111"/>
      <c r="S34" s="109">
        <f>C34+G34+K34+O34</f>
        <v>0</v>
      </c>
      <c r="T34" s="109"/>
      <c r="U34" s="110">
        <f t="shared" si="11"/>
        <v>0</v>
      </c>
      <c r="V34" s="13" t="s">
        <v>416</v>
      </c>
      <c r="W34" s="14" t="s">
        <v>417</v>
      </c>
      <c r="X34" s="11"/>
    </row>
    <row r="35" spans="1:24" ht="12.75" customHeight="1">
      <c r="A35" s="13" t="s">
        <v>570</v>
      </c>
      <c r="B35" s="27" t="s">
        <v>571</v>
      </c>
      <c r="C35" s="48">
        <f>'1 Příspěvek na vzdělávání'!E35+'5 Koheze'!J35+'5 Koheze'!K35+'4.6 RUK'!C35</f>
        <v>0</v>
      </c>
      <c r="D35" s="103">
        <v>0</v>
      </c>
      <c r="E35" s="104">
        <f t="shared" si="7"/>
        <v>0</v>
      </c>
      <c r="G35" s="105">
        <f>'2 Podpora vědy'!E36+'4.6 RUK'!D35</f>
        <v>0</v>
      </c>
      <c r="H35" s="103">
        <v>0</v>
      </c>
      <c r="I35" s="106">
        <f t="shared" si="8"/>
        <v>0</v>
      </c>
      <c r="K35" s="107">
        <f>'3 SVV'!C35</f>
        <v>0</v>
      </c>
      <c r="L35" s="103"/>
      <c r="M35" s="108">
        <f t="shared" si="9"/>
        <v>0</v>
      </c>
      <c r="O35" s="109">
        <f>'4.4. Nemovitosti'!J35+'4.5 Rozvoj'!E35</f>
        <v>6699898.477116177</v>
      </c>
      <c r="P35" s="109">
        <v>6757895</v>
      </c>
      <c r="Q35" s="110">
        <f t="shared" si="10"/>
        <v>0.9914179603435946</v>
      </c>
      <c r="R35" s="111"/>
      <c r="S35" s="109">
        <f>C35+G35+K35+O35</f>
        <v>6699898.477116177</v>
      </c>
      <c r="T35" s="109">
        <f t="shared" si="12"/>
        <v>6757895</v>
      </c>
      <c r="U35" s="1126">
        <f t="shared" si="11"/>
        <v>0.9914179603435946</v>
      </c>
      <c r="V35" s="13" t="s">
        <v>570</v>
      </c>
      <c r="W35" s="14" t="s">
        <v>571</v>
      </c>
      <c r="X35" s="11"/>
    </row>
    <row r="36" spans="1:24" ht="12.75" customHeight="1">
      <c r="A36" s="13" t="s">
        <v>649</v>
      </c>
      <c r="B36" s="27" t="s">
        <v>410</v>
      </c>
      <c r="C36" s="48">
        <f>'1 Příspěvek na vzdělávání'!E36+'5 Koheze'!J36+'5 Koheze'!K36+'4.6 RUK'!C36</f>
        <v>17940549</v>
      </c>
      <c r="D36" s="103">
        <v>17722731</v>
      </c>
      <c r="E36" s="104">
        <f>IF(D36=0,0,C36/D36)</f>
        <v>1.0122903180102434</v>
      </c>
      <c r="G36" s="105">
        <f>'2 Podpora vědy'!E37+'4.6 RUK'!D36</f>
        <v>13002507</v>
      </c>
      <c r="H36" s="103">
        <v>12065222.0003887</v>
      </c>
      <c r="I36" s="106">
        <f>IF(H36=0,0,G36/H36)</f>
        <v>1.0776848531739494</v>
      </c>
      <c r="K36" s="107">
        <f>'3 SVV'!C36</f>
        <v>0</v>
      </c>
      <c r="L36" s="103"/>
      <c r="M36" s="108">
        <f>IF(L36=0,0,K36/L36)</f>
        <v>0</v>
      </c>
      <c r="O36" s="109">
        <f>'4.4. Nemovitosti'!J36+'4.5 Rozvoj'!E36</f>
        <v>69328.08932040716</v>
      </c>
      <c r="P36" s="109">
        <v>71560</v>
      </c>
      <c r="Q36" s="110">
        <f>IF(P36=0,0,O36/P36)</f>
        <v>0.9688106389101057</v>
      </c>
      <c r="R36" s="111"/>
      <c r="S36" s="109">
        <f>C36+G36+K36+O36</f>
        <v>31012384.089320406</v>
      </c>
      <c r="T36" s="109">
        <f t="shared" si="12"/>
        <v>29859513.0003887</v>
      </c>
      <c r="U36" s="110">
        <f>IF(T36=0,0,S36/T36)</f>
        <v>1.0386098423278605</v>
      </c>
      <c r="V36" s="13" t="s">
        <v>649</v>
      </c>
      <c r="W36" s="14" t="s">
        <v>410</v>
      </c>
      <c r="X36" s="11"/>
    </row>
    <row r="37" spans="1:24" ht="12.75" customHeight="1">
      <c r="A37" s="15" t="s">
        <v>434</v>
      </c>
      <c r="B37" s="27"/>
      <c r="C37" s="48">
        <f>C22+C24+C25+SUM(C33:C36)</f>
        <v>3357306090.45097</v>
      </c>
      <c r="D37" s="109">
        <f>D22+D24+D25+SUM(D33:D36)</f>
        <v>3316497359</v>
      </c>
      <c r="E37" s="104">
        <f>IF(D37=0,0,C37/D37)</f>
        <v>1.0123047682640927</v>
      </c>
      <c r="G37" s="105">
        <f>G22+G24+G25+SUM(G33:G36)</f>
        <v>1489580251</v>
      </c>
      <c r="H37" s="103">
        <f>H22+H24+H25+SUM(H33:H36)</f>
        <v>1382142751</v>
      </c>
      <c r="I37" s="106">
        <f t="shared" si="8"/>
        <v>1.0777325641090745</v>
      </c>
      <c r="K37" s="107">
        <f>K22+K24+K25+SUM(K33:K34)</f>
        <v>122705706</v>
      </c>
      <c r="L37" s="103">
        <f>L22+L24+L25+SUM(L33:L34)</f>
        <v>115393312</v>
      </c>
      <c r="M37" s="108">
        <f t="shared" si="9"/>
        <v>1.0633693051465583</v>
      </c>
      <c r="O37" s="109">
        <f>O22+O24+O25+SUM(O33:O36)</f>
        <v>176000000</v>
      </c>
      <c r="P37" s="109">
        <f>P22+P24+P25+SUM(P33:P36)</f>
        <v>150000000</v>
      </c>
      <c r="Q37" s="110">
        <f t="shared" si="10"/>
        <v>1.1733333333333333</v>
      </c>
      <c r="R37" s="111"/>
      <c r="S37" s="109">
        <f>S22+S24+S25+SUM(S33:S36)</f>
        <v>5145592047.45097</v>
      </c>
      <c r="T37" s="109">
        <f>T22+T24+T25+SUM(T33:T36)</f>
        <v>4964033422</v>
      </c>
      <c r="U37" s="110">
        <f t="shared" si="11"/>
        <v>1.036574819308493</v>
      </c>
      <c r="V37" s="15" t="s">
        <v>434</v>
      </c>
      <c r="W37" s="14"/>
      <c r="X37" s="11"/>
    </row>
    <row r="38" spans="3:20" ht="9.75" customHeight="1">
      <c r="C38" s="406">
        <f>Bilance!C80+Bilance!C69</f>
        <v>3357306090.45097</v>
      </c>
      <c r="D38" s="406">
        <f>Bilance!D80+Bilance!D69</f>
        <v>3316497359.3668647</v>
      </c>
      <c r="G38" s="406">
        <f>'2 Podpora vědy'!C45+'4.6 RUK'!D37</f>
        <v>1489580251</v>
      </c>
      <c r="H38" s="406">
        <f>1263792751+118350000</f>
        <v>1382142751</v>
      </c>
      <c r="I38" s="1119">
        <f t="shared" si="8"/>
        <v>1.0777325641090745</v>
      </c>
      <c r="K38" s="406">
        <f>Bilance!C86</f>
        <v>122705706</v>
      </c>
      <c r="O38" s="406">
        <f>Bilance!C57+Bilance!C61</f>
        <v>176000000</v>
      </c>
      <c r="P38" s="406">
        <f>Bilance!D57+Bilance!D61</f>
        <v>150000000</v>
      </c>
      <c r="S38" s="406">
        <f>Bilance!C57+Bilance!C61+Bilance!C67+Bilance!C80+Bilance!C86+'2 Podpora vědy'!C45</f>
        <v>5145592047.45097</v>
      </c>
      <c r="T38" s="406"/>
    </row>
    <row r="39" spans="3:25" ht="9.75" customHeight="1">
      <c r="C39" s="7">
        <f>C38-C37</f>
        <v>0</v>
      </c>
      <c r="D39" s="7">
        <f aca="true" t="shared" si="13" ref="D39:P39">D38-D37</f>
        <v>0.3668646812438965</v>
      </c>
      <c r="E39" s="7"/>
      <c r="F39" s="7">
        <f t="shared" si="13"/>
        <v>0</v>
      </c>
      <c r="G39" s="7">
        <f t="shared" si="13"/>
        <v>0</v>
      </c>
      <c r="H39" s="7">
        <f t="shared" si="13"/>
        <v>0</v>
      </c>
      <c r="I39" s="7"/>
      <c r="J39" s="7">
        <f t="shared" si="13"/>
        <v>0</v>
      </c>
      <c r="K39" s="7">
        <f t="shared" si="13"/>
        <v>0</v>
      </c>
      <c r="L39" s="7"/>
      <c r="M39" s="7"/>
      <c r="N39" s="7">
        <f t="shared" si="13"/>
        <v>0</v>
      </c>
      <c r="O39" s="7">
        <f t="shared" si="13"/>
        <v>0</v>
      </c>
      <c r="P39" s="7">
        <f t="shared" si="13"/>
        <v>0</v>
      </c>
      <c r="Q39" s="1"/>
      <c r="S39" s="22">
        <f>S38-S37</f>
        <v>0</v>
      </c>
      <c r="Y39" s="369"/>
    </row>
    <row r="40" ht="9.75" customHeight="1">
      <c r="S40" s="7"/>
    </row>
    <row r="43" ht="9.75" customHeight="1">
      <c r="S43" s="7"/>
    </row>
    <row r="44" ht="9.75" customHeight="1">
      <c r="E44" s="7"/>
    </row>
  </sheetData>
  <sheetProtection/>
  <mergeCells count="7">
    <mergeCell ref="V2:W3"/>
    <mergeCell ref="A2:B3"/>
    <mergeCell ref="C2:E2"/>
    <mergeCell ref="G2:I2"/>
    <mergeCell ref="K2:M2"/>
    <mergeCell ref="O2:Q2"/>
    <mergeCell ref="S2:U2"/>
  </mergeCells>
  <conditionalFormatting sqref="E4:E37 M4:M37 Q4:Q37 U4:U37 I4:I38">
    <cfRule type="cellIs" priority="1" dxfId="26" operator="lessThan" stopIfTrue="1">
      <formula>1</formula>
    </cfRule>
  </conditionalFormatting>
  <printOptions horizontalCentered="1"/>
  <pageMargins left="0" right="0" top="0.9448818897637796" bottom="0.5511811023622047" header="0.5118110236220472" footer="0.31496062992125984"/>
  <pageSetup fitToHeight="1" fitToWidth="1" horizontalDpi="600" verticalDpi="600" orientation="landscape" paperSize="9" scale="76" r:id="rId3"/>
  <headerFooter alignWithMargins="0">
    <oddHeader>&amp;C&amp;16Tabulka &amp;A</oddHeader>
    <oddFooter>&amp;C&amp;F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44"/>
  <sheetViews>
    <sheetView showZeros="0" workbookViewId="0" topLeftCell="A4">
      <selection activeCell="A53" sqref="A53"/>
    </sheetView>
  </sheetViews>
  <sheetFormatPr defaultColWidth="9.33203125" defaultRowHeight="9.75" customHeight="1"/>
  <cols>
    <col min="1" max="1" width="5.33203125" style="0" customWidth="1"/>
    <col min="2" max="2" width="17.33203125" style="0" customWidth="1"/>
    <col min="3" max="3" width="14.33203125" style="0" customWidth="1"/>
    <col min="4" max="4" width="12.83203125" style="0" customWidth="1"/>
    <col min="5" max="5" width="11.5" style="0" bestFit="1" customWidth="1"/>
    <col min="6" max="6" width="0.82421875" style="0" customWidth="1"/>
    <col min="7" max="7" width="14.33203125" style="0" customWidth="1"/>
    <col min="8" max="8" width="13.33203125" style="0" customWidth="1"/>
    <col min="9" max="9" width="10.83203125" style="0" bestFit="1" customWidth="1"/>
    <col min="10" max="10" width="0.82421875" style="0" customWidth="1"/>
    <col min="11" max="11" width="14.66015625" style="0" customWidth="1"/>
    <col min="12" max="12" width="12.66015625" style="0" customWidth="1"/>
    <col min="13" max="13" width="11.83203125" style="0" bestFit="1" customWidth="1"/>
    <col min="14" max="14" width="0.82421875" style="0" customWidth="1"/>
    <col min="15" max="16" width="12.66015625" style="0" customWidth="1"/>
    <col min="17" max="17" width="9.83203125" style="0" bestFit="1" customWidth="1"/>
    <col min="18" max="18" width="0.65625" style="0" customWidth="1"/>
    <col min="19" max="19" width="12.83203125" style="0" customWidth="1"/>
    <col min="20" max="20" width="14.33203125" style="0" customWidth="1"/>
    <col min="21" max="21" width="12.83203125" style="0" customWidth="1"/>
    <col min="22" max="22" width="5.5" style="0" customWidth="1"/>
    <col min="23" max="23" width="17.16015625" style="0" customWidth="1"/>
    <col min="26" max="26" width="18.5" style="0" customWidth="1"/>
    <col min="27" max="27" width="11.5" style="0" customWidth="1"/>
  </cols>
  <sheetData>
    <row r="2" spans="1:23" ht="79.5" customHeight="1">
      <c r="A2" s="1252" t="s">
        <v>732</v>
      </c>
      <c r="B2" s="1253"/>
      <c r="C2" s="1247" t="s">
        <v>602</v>
      </c>
      <c r="D2" s="1256"/>
      <c r="E2" s="1256"/>
      <c r="G2" s="1257" t="s">
        <v>439</v>
      </c>
      <c r="H2" s="1257"/>
      <c r="I2" s="1257"/>
      <c r="K2" s="1258" t="s">
        <v>440</v>
      </c>
      <c r="L2" s="1258"/>
      <c r="M2" s="1258"/>
      <c r="O2" s="1259" t="s">
        <v>1301</v>
      </c>
      <c r="P2" s="1259"/>
      <c r="Q2" s="1259"/>
      <c r="R2" s="96"/>
      <c r="S2" s="1259" t="s">
        <v>5</v>
      </c>
      <c r="T2" s="1259"/>
      <c r="U2" s="1259"/>
      <c r="V2" s="1252" t="s">
        <v>732</v>
      </c>
      <c r="W2" s="1253"/>
    </row>
    <row r="3" spans="1:23" ht="12.75" customHeight="1">
      <c r="A3" s="1254"/>
      <c r="B3" s="1255"/>
      <c r="C3" s="865">
        <v>2020</v>
      </c>
      <c r="D3" s="98">
        <v>2019</v>
      </c>
      <c r="E3" s="97" t="s">
        <v>442</v>
      </c>
      <c r="F3" s="99"/>
      <c r="G3" s="100">
        <f>C3</f>
        <v>2020</v>
      </c>
      <c r="H3" s="98">
        <f>D3</f>
        <v>2019</v>
      </c>
      <c r="I3" s="560" t="s">
        <v>442</v>
      </c>
      <c r="J3" s="99"/>
      <c r="K3" s="101">
        <f>C3</f>
        <v>2020</v>
      </c>
      <c r="L3" s="98">
        <f>D3</f>
        <v>2019</v>
      </c>
      <c r="M3" s="563" t="s">
        <v>442</v>
      </c>
      <c r="N3" s="99"/>
      <c r="O3" s="98">
        <f>C3</f>
        <v>2020</v>
      </c>
      <c r="P3" s="98">
        <f>D3</f>
        <v>2019</v>
      </c>
      <c r="Q3" s="98" t="s">
        <v>442</v>
      </c>
      <c r="R3" s="102"/>
      <c r="S3" s="98">
        <f>G3</f>
        <v>2020</v>
      </c>
      <c r="T3" s="98">
        <f>H3</f>
        <v>2019</v>
      </c>
      <c r="U3" s="98" t="s">
        <v>442</v>
      </c>
      <c r="V3" s="1254"/>
      <c r="W3" s="1255"/>
    </row>
    <row r="4" spans="1:25" ht="12.75" customHeight="1">
      <c r="A4" s="127" t="s">
        <v>376</v>
      </c>
      <c r="B4" s="128" t="s">
        <v>371</v>
      </c>
      <c r="C4" s="48">
        <f>'Porovnání s r-1 (částky a)'!C4</f>
        <v>28788418.022749323</v>
      </c>
      <c r="D4" s="109">
        <f>'Porovnání s r-1 (částky a)'!D4</f>
        <v>28717427</v>
      </c>
      <c r="E4" s="48">
        <f aca="true" t="shared" si="0" ref="E4:E37">C4-D4</f>
        <v>70991.0227493234</v>
      </c>
      <c r="G4" s="559">
        <f>'Porovnání s r-1 (částky a)'!G4</f>
        <v>7225662</v>
      </c>
      <c r="H4" s="109">
        <f>'Porovnání s r-1 (částky a)'!H4</f>
        <v>6704476</v>
      </c>
      <c r="I4" s="561">
        <f aca="true" t="shared" si="1" ref="I4:I37">G4-H4</f>
        <v>521186</v>
      </c>
      <c r="K4" s="107">
        <f>'Porovnání s r-1 (částky a)'!K4</f>
        <v>875000</v>
      </c>
      <c r="L4" s="109">
        <f>'Porovnání s r-1 (částky a)'!L4</f>
        <v>855000</v>
      </c>
      <c r="M4" s="564">
        <f aca="true" t="shared" si="2" ref="M4:M37">K4-L4</f>
        <v>20000</v>
      </c>
      <c r="O4" s="109">
        <f>'Porovnání s r-1 (částky a)'!O4</f>
        <v>392632.6104322406</v>
      </c>
      <c r="P4" s="109">
        <f>'Porovnání s r-1 (částky a)'!P4</f>
        <v>405271</v>
      </c>
      <c r="Q4" s="109">
        <f aca="true" t="shared" si="3" ref="Q4:Q37">O4-P4</f>
        <v>-12638.389567759412</v>
      </c>
      <c r="R4" s="111"/>
      <c r="S4" s="109">
        <f>'Porovnání s r-1 (částky a)'!S4</f>
        <v>37281712.63318156</v>
      </c>
      <c r="T4" s="109">
        <f>'Porovnání s r-1 (částky a)'!T4</f>
        <v>36682174</v>
      </c>
      <c r="U4" s="109">
        <f aca="true" t="shared" si="4" ref="U4:U37">S4-T4</f>
        <v>599538.6331815571</v>
      </c>
      <c r="V4" s="13" t="s">
        <v>376</v>
      </c>
      <c r="W4" s="14" t="s">
        <v>371</v>
      </c>
      <c r="Y4" s="11"/>
    </row>
    <row r="5" spans="1:25" ht="12.75" customHeight="1">
      <c r="A5" s="13" t="s">
        <v>377</v>
      </c>
      <c r="B5" s="27" t="s">
        <v>68</v>
      </c>
      <c r="C5" s="48">
        <f>'Porovnání s r-1 (částky a)'!C5</f>
        <v>22760043.397943445</v>
      </c>
      <c r="D5" s="109">
        <f>'Porovnání s r-1 (částky a)'!D5</f>
        <v>25136601</v>
      </c>
      <c r="E5" s="48">
        <f t="shared" si="0"/>
        <v>-2376557.6020565554</v>
      </c>
      <c r="G5" s="105">
        <f>'Porovnání s r-1 (částky a)'!G5</f>
        <v>6890815</v>
      </c>
      <c r="H5" s="109">
        <f>'Porovnání s r-1 (částky a)'!H5</f>
        <v>6393781</v>
      </c>
      <c r="I5" s="561">
        <f t="shared" si="1"/>
        <v>497034</v>
      </c>
      <c r="K5" s="107">
        <f>'Porovnání s r-1 (částky a)'!K5</f>
        <v>1264500</v>
      </c>
      <c r="L5" s="109">
        <f>'Porovnání s r-1 (částky a)'!L5</f>
        <v>722000</v>
      </c>
      <c r="M5" s="564">
        <f t="shared" si="2"/>
        <v>542500</v>
      </c>
      <c r="O5" s="109">
        <f>'Porovnání s r-1 (částky a)'!O5</f>
        <v>756117.7620565572</v>
      </c>
      <c r="P5" s="109">
        <f>'Porovnání s r-1 (částky a)'!P5</f>
        <v>738739</v>
      </c>
      <c r="Q5" s="109">
        <f t="shared" si="3"/>
        <v>17378.76205655723</v>
      </c>
      <c r="R5" s="111"/>
      <c r="S5" s="109">
        <f>'Porovnání s r-1 (částky a)'!S5</f>
        <v>31671476.16</v>
      </c>
      <c r="T5" s="109">
        <f>'Porovnání s r-1 (částky a)'!T5</f>
        <v>32991121</v>
      </c>
      <c r="U5" s="109">
        <f t="shared" si="4"/>
        <v>-1319644.8399999999</v>
      </c>
      <c r="V5" s="13" t="s">
        <v>377</v>
      </c>
      <c r="W5" s="14" t="s">
        <v>68</v>
      </c>
      <c r="Y5" s="11"/>
    </row>
    <row r="6" spans="1:25" ht="12.75" customHeight="1">
      <c r="A6" s="13" t="s">
        <v>378</v>
      </c>
      <c r="B6" s="27" t="s">
        <v>372</v>
      </c>
      <c r="C6" s="48">
        <f>'Porovnání s r-1 (částky a)'!C6</f>
        <v>35493744.13655694</v>
      </c>
      <c r="D6" s="109">
        <f>'Porovnání s r-1 (částky a)'!D6</f>
        <v>35341123</v>
      </c>
      <c r="E6" s="48">
        <f t="shared" si="0"/>
        <v>152621.1365569383</v>
      </c>
      <c r="G6" s="105">
        <f>'Porovnání s r-1 (částky a)'!G6</f>
        <v>3948983</v>
      </c>
      <c r="H6" s="109">
        <f>'Porovnání s r-1 (částky a)'!H6</f>
        <v>3664143</v>
      </c>
      <c r="I6" s="561">
        <f t="shared" si="1"/>
        <v>284840</v>
      </c>
      <c r="K6" s="562">
        <f>'Porovnání s r-1 (částky a)'!K6</f>
        <v>694000</v>
      </c>
      <c r="L6" s="109">
        <f>'Porovnání s r-1 (částky a)'!L6</f>
        <v>500000</v>
      </c>
      <c r="M6" s="564">
        <f t="shared" si="2"/>
        <v>194000</v>
      </c>
      <c r="O6" s="109">
        <f>'Porovnání s r-1 (částky a)'!O6</f>
        <v>756280.2836700336</v>
      </c>
      <c r="P6" s="109">
        <f>'Porovnání s r-1 (částky a)'!P6</f>
        <v>777412</v>
      </c>
      <c r="Q6" s="109">
        <f t="shared" si="3"/>
        <v>-21131.71632996644</v>
      </c>
      <c r="R6" s="111"/>
      <c r="S6" s="109">
        <f>'Porovnání s r-1 (částky a)'!S6</f>
        <v>40893007.42022697</v>
      </c>
      <c r="T6" s="109">
        <f>'Porovnání s r-1 (částky a)'!T6</f>
        <v>40282678</v>
      </c>
      <c r="U6" s="109">
        <f t="shared" si="4"/>
        <v>610329.4202269688</v>
      </c>
      <c r="V6" s="13" t="s">
        <v>378</v>
      </c>
      <c r="W6" s="14" t="s">
        <v>372</v>
      </c>
      <c r="Y6" s="11"/>
    </row>
    <row r="7" spans="1:25" ht="12.75" customHeight="1">
      <c r="A7" s="13" t="s">
        <v>379</v>
      </c>
      <c r="B7" s="27" t="s">
        <v>42</v>
      </c>
      <c r="C7" s="48">
        <f>'Porovnání s r-1 (částky a)'!C7</f>
        <v>155642490.50502372</v>
      </c>
      <c r="D7" s="109">
        <f>'Porovnání s r-1 (částky a)'!D7</f>
        <v>155442735</v>
      </c>
      <c r="E7" s="48">
        <f t="shared" si="0"/>
        <v>199755.50502371788</v>
      </c>
      <c r="G7" s="105">
        <f>'Porovnání s r-1 (částky a)'!G7</f>
        <v>27428142</v>
      </c>
      <c r="H7" s="109">
        <f>'Porovnání s r-1 (částky a)'!H7</f>
        <v>25449754</v>
      </c>
      <c r="I7" s="561">
        <f t="shared" si="1"/>
        <v>1978388</v>
      </c>
      <c r="K7" s="107">
        <f>'Porovnání s r-1 (částky a)'!K7</f>
        <v>4175000</v>
      </c>
      <c r="L7" s="109">
        <f>'Porovnání s r-1 (částky a)'!L7</f>
        <v>4171000</v>
      </c>
      <c r="M7" s="564">
        <f t="shared" si="2"/>
        <v>4000</v>
      </c>
      <c r="O7" s="109">
        <f>'Porovnání s r-1 (částky a)'!O7</f>
        <v>3722200.31003144</v>
      </c>
      <c r="P7" s="109">
        <f>'Porovnání s r-1 (částky a)'!P7</f>
        <v>3707356</v>
      </c>
      <c r="Q7" s="109">
        <f t="shared" si="3"/>
        <v>14844.310031440109</v>
      </c>
      <c r="R7" s="111"/>
      <c r="S7" s="109">
        <f>'Porovnání s r-1 (částky a)'!S7</f>
        <v>190967832.81505516</v>
      </c>
      <c r="T7" s="109">
        <f>'Porovnání s r-1 (částky a)'!T7</f>
        <v>188770845</v>
      </c>
      <c r="U7" s="109">
        <f t="shared" si="4"/>
        <v>2196987.8150551617</v>
      </c>
      <c r="V7" s="13" t="s">
        <v>379</v>
      </c>
      <c r="W7" s="14" t="s">
        <v>42</v>
      </c>
      <c r="Y7" s="11"/>
    </row>
    <row r="8" spans="1:25" ht="12.75" customHeight="1">
      <c r="A8" s="13" t="s">
        <v>380</v>
      </c>
      <c r="B8" s="27" t="s">
        <v>8</v>
      </c>
      <c r="C8" s="48">
        <f>'Porovnání s r-1 (částky a)'!C8</f>
        <v>430497676.6459016</v>
      </c>
      <c r="D8" s="109">
        <f>'Porovnání s r-1 (částky a)'!D8</f>
        <v>425128599</v>
      </c>
      <c r="E8" s="48">
        <f t="shared" si="0"/>
        <v>5369077.64590162</v>
      </c>
      <c r="G8" s="105">
        <f>'Porovnání s r-1 (částky a)'!G8</f>
        <v>135991117</v>
      </c>
      <c r="H8" s="109">
        <f>'Porovnání s r-1 (částky a)'!H8</f>
        <v>126182095</v>
      </c>
      <c r="I8" s="561">
        <f t="shared" si="1"/>
        <v>9809022</v>
      </c>
      <c r="K8" s="107">
        <f>'Porovnání s r-1 (částky a)'!K8</f>
        <v>15499000</v>
      </c>
      <c r="L8" s="109">
        <f>'Porovnání s r-1 (částky a)'!L8</f>
        <v>12943000</v>
      </c>
      <c r="M8" s="564">
        <f t="shared" si="2"/>
        <v>2556000</v>
      </c>
      <c r="O8" s="109">
        <f>'Porovnání s r-1 (částky a)'!O8</f>
        <v>20186324.801520407</v>
      </c>
      <c r="P8" s="109">
        <f>'Porovnání s r-1 (částky a)'!P8</f>
        <v>19267067</v>
      </c>
      <c r="Q8" s="109">
        <f t="shared" si="3"/>
        <v>919257.8015204072</v>
      </c>
      <c r="R8" s="111"/>
      <c r="S8" s="109">
        <f>'Porovnání s r-1 (částky a)'!S8</f>
        <v>602174118.447422</v>
      </c>
      <c r="T8" s="109">
        <f>'Porovnání s r-1 (částky a)'!T8</f>
        <v>583520761</v>
      </c>
      <c r="U8" s="109">
        <f t="shared" si="4"/>
        <v>18653357.447422028</v>
      </c>
      <c r="V8" s="13" t="s">
        <v>380</v>
      </c>
      <c r="W8" s="14" t="s">
        <v>8</v>
      </c>
      <c r="Y8" s="11"/>
    </row>
    <row r="9" spans="1:25" ht="12.75" customHeight="1">
      <c r="A9" s="13" t="s">
        <v>381</v>
      </c>
      <c r="B9" s="27" t="s">
        <v>22</v>
      </c>
      <c r="C9" s="48">
        <f>'Porovnání s r-1 (částky a)'!C9</f>
        <v>158478901.40210068</v>
      </c>
      <c r="D9" s="109">
        <f>'Porovnání s r-1 (částky a)'!D9</f>
        <v>156016632</v>
      </c>
      <c r="E9" s="48">
        <f t="shared" si="0"/>
        <v>2462269.4021006823</v>
      </c>
      <c r="G9" s="105">
        <f>'Porovnání s r-1 (částky a)'!G9</f>
        <v>59479061</v>
      </c>
      <c r="H9" s="109">
        <f>'Porovnání s r-1 (částky a)'!H9</f>
        <v>55188844</v>
      </c>
      <c r="I9" s="561">
        <f t="shared" si="1"/>
        <v>4290217</v>
      </c>
      <c r="K9" s="107">
        <f>'Porovnání s r-1 (částky a)'!K9</f>
        <v>7296000</v>
      </c>
      <c r="L9" s="109">
        <f>'Porovnání s r-1 (částky a)'!L9</f>
        <v>5607000</v>
      </c>
      <c r="M9" s="564">
        <f t="shared" si="2"/>
        <v>1689000</v>
      </c>
      <c r="O9" s="109">
        <f>'Porovnání s r-1 (částky a)'!O9</f>
        <v>2466576.5464703543</v>
      </c>
      <c r="P9" s="109">
        <f>'Porovnání s r-1 (částky a)'!P9</f>
        <v>1575746</v>
      </c>
      <c r="Q9" s="109">
        <f t="shared" si="3"/>
        <v>890830.5464703543</v>
      </c>
      <c r="R9" s="111"/>
      <c r="S9" s="109">
        <f>'Porovnání s r-1 (částky a)'!S9</f>
        <v>227720538.94857103</v>
      </c>
      <c r="T9" s="109">
        <f>'Porovnání s r-1 (částky a)'!T9</f>
        <v>218388222</v>
      </c>
      <c r="U9" s="109">
        <f t="shared" si="4"/>
        <v>9332316.948571026</v>
      </c>
      <c r="V9" s="13" t="s">
        <v>381</v>
      </c>
      <c r="W9" s="14" t="s">
        <v>22</v>
      </c>
      <c r="Y9" s="11"/>
    </row>
    <row r="10" spans="1:25" ht="12.75" customHeight="1">
      <c r="A10" s="13" t="s">
        <v>382</v>
      </c>
      <c r="B10" s="27" t="s">
        <v>21</v>
      </c>
      <c r="C10" s="48">
        <f>'Porovnání s r-1 (částky a)'!C10</f>
        <v>176088413.5922887</v>
      </c>
      <c r="D10" s="109">
        <f>'Porovnání s r-1 (částky a)'!D10</f>
        <v>173175357</v>
      </c>
      <c r="E10" s="48">
        <f t="shared" si="0"/>
        <v>2913056.5922887027</v>
      </c>
      <c r="G10" s="105">
        <f>'Porovnání s r-1 (částky a)'!G10</f>
        <v>66166792</v>
      </c>
      <c r="H10" s="109">
        <f>'Porovnání s r-1 (částky a)'!H10</f>
        <v>61394190</v>
      </c>
      <c r="I10" s="561">
        <f t="shared" si="1"/>
        <v>4772602</v>
      </c>
      <c r="K10" s="107">
        <f>'Porovnání s r-1 (částky a)'!K10</f>
        <v>6010000</v>
      </c>
      <c r="L10" s="109">
        <f>'Porovnání s r-1 (částky a)'!L10</f>
        <v>5453000</v>
      </c>
      <c r="M10" s="564">
        <f t="shared" si="2"/>
        <v>557000</v>
      </c>
      <c r="O10" s="109">
        <f>'Porovnání s r-1 (částky a)'!O10</f>
        <v>2084690.4739661755</v>
      </c>
      <c r="P10" s="109">
        <f>'Porovnání s r-1 (částky a)'!P10</f>
        <v>2023595</v>
      </c>
      <c r="Q10" s="109">
        <f t="shared" si="3"/>
        <v>61095.47396617546</v>
      </c>
      <c r="R10" s="111"/>
      <c r="S10" s="109">
        <f>'Porovnání s r-1 (částky a)'!S10</f>
        <v>250349896.06625488</v>
      </c>
      <c r="T10" s="109">
        <f>'Porovnání s r-1 (částky a)'!T10</f>
        <v>242046142</v>
      </c>
      <c r="U10" s="109">
        <f t="shared" si="4"/>
        <v>8303754.066254884</v>
      </c>
      <c r="V10" s="13" t="s">
        <v>382</v>
      </c>
      <c r="W10" s="14" t="s">
        <v>21</v>
      </c>
      <c r="Y10" s="11"/>
    </row>
    <row r="11" spans="1:25" ht="12.75" customHeight="1">
      <c r="A11" s="13" t="s">
        <v>383</v>
      </c>
      <c r="B11" s="27" t="s">
        <v>23</v>
      </c>
      <c r="C11" s="48">
        <f>'Porovnání s r-1 (částky a)'!C11</f>
        <v>177963247.93690848</v>
      </c>
      <c r="D11" s="109">
        <f>'Porovnání s r-1 (částky a)'!D11</f>
        <v>175899426</v>
      </c>
      <c r="E11" s="48">
        <f t="shared" si="0"/>
        <v>2063821.9369084835</v>
      </c>
      <c r="G11" s="105">
        <f>'Porovnání s r-1 (částky a)'!G11</f>
        <v>31283036</v>
      </c>
      <c r="H11" s="109">
        <f>'Porovnání s r-1 (částky a)'!H11</f>
        <v>29026595</v>
      </c>
      <c r="I11" s="561">
        <f t="shared" si="1"/>
        <v>2256441</v>
      </c>
      <c r="K11" s="107">
        <f>'Porovnání s r-1 (částky a)'!K11</f>
        <v>3998000</v>
      </c>
      <c r="L11" s="109">
        <f>'Porovnání s r-1 (částky a)'!L11</f>
        <v>3465000</v>
      </c>
      <c r="M11" s="564">
        <f t="shared" si="2"/>
        <v>533000</v>
      </c>
      <c r="O11" s="109">
        <f>'Porovnání s r-1 (částky a)'!O11</f>
        <v>21140649.37269953</v>
      </c>
      <c r="P11" s="109">
        <f>'Porovnání s r-1 (částky a)'!P11</f>
        <v>8467478</v>
      </c>
      <c r="Q11" s="109">
        <f t="shared" si="3"/>
        <v>12673171.372699529</v>
      </c>
      <c r="R11" s="111"/>
      <c r="S11" s="109">
        <f>'Porovnání s r-1 (částky a)'!S11</f>
        <v>234384933.309608</v>
      </c>
      <c r="T11" s="109">
        <f>'Porovnání s r-1 (částky a)'!T11</f>
        <v>216858499</v>
      </c>
      <c r="U11" s="109">
        <f t="shared" si="4"/>
        <v>17526434.309608012</v>
      </c>
      <c r="V11" s="13" t="s">
        <v>383</v>
      </c>
      <c r="W11" s="14" t="s">
        <v>23</v>
      </c>
      <c r="Y11" s="11"/>
    </row>
    <row r="12" spans="1:25" ht="12.75" customHeight="1">
      <c r="A12" s="13" t="s">
        <v>384</v>
      </c>
      <c r="B12" s="27" t="s">
        <v>24</v>
      </c>
      <c r="C12" s="48">
        <f>'Porovnání s r-1 (částky a)'!C12</f>
        <v>153175682.82665208</v>
      </c>
      <c r="D12" s="109">
        <f>'Porovnání s r-1 (částky a)'!D12</f>
        <v>151541093</v>
      </c>
      <c r="E12" s="48">
        <f t="shared" si="0"/>
        <v>1634589.8266520798</v>
      </c>
      <c r="G12" s="105">
        <f>'Porovnání s r-1 (částky a)'!G12</f>
        <v>38921651</v>
      </c>
      <c r="H12" s="109">
        <f>'Porovnání s r-1 (částky a)'!H12</f>
        <v>36114237</v>
      </c>
      <c r="I12" s="561">
        <f t="shared" si="1"/>
        <v>2807414</v>
      </c>
      <c r="K12" s="107">
        <f>'Porovnání s r-1 (částky a)'!K12</f>
        <v>4094000</v>
      </c>
      <c r="L12" s="109">
        <f>'Porovnání s r-1 (částky a)'!L12</f>
        <v>3722000</v>
      </c>
      <c r="M12" s="564">
        <f t="shared" si="2"/>
        <v>372000</v>
      </c>
      <c r="O12" s="109">
        <f>'Porovnání s r-1 (částky a)'!O12</f>
        <v>7191596.9195799865</v>
      </c>
      <c r="P12" s="109">
        <f>'Porovnání s r-1 (částky a)'!P12</f>
        <v>5323449</v>
      </c>
      <c r="Q12" s="109">
        <f t="shared" si="3"/>
        <v>1868147.9195799865</v>
      </c>
      <c r="R12" s="111"/>
      <c r="S12" s="109">
        <f>'Porovnání s r-1 (částky a)'!S12</f>
        <v>203382930.74623206</v>
      </c>
      <c r="T12" s="109">
        <f>'Porovnání s r-1 (částky a)'!T12</f>
        <v>196700779</v>
      </c>
      <c r="U12" s="109">
        <f t="shared" si="4"/>
        <v>6682151.746232063</v>
      </c>
      <c r="V12" s="13" t="s">
        <v>384</v>
      </c>
      <c r="W12" s="14" t="s">
        <v>24</v>
      </c>
      <c r="Y12" s="11"/>
    </row>
    <row r="13" spans="1:25" ht="12.75" customHeight="1">
      <c r="A13" s="13" t="s">
        <v>385</v>
      </c>
      <c r="B13" s="27" t="s">
        <v>31</v>
      </c>
      <c r="C13" s="48">
        <f>'Porovnání s r-1 (částky a)'!C13</f>
        <v>132768520.27186549</v>
      </c>
      <c r="D13" s="109">
        <f>'Porovnání s r-1 (částky a)'!D13</f>
        <v>130975213</v>
      </c>
      <c r="E13" s="48">
        <f t="shared" si="0"/>
        <v>1793307.271865487</v>
      </c>
      <c r="G13" s="105">
        <f>'Porovnání s r-1 (částky a)'!G13</f>
        <v>57101684</v>
      </c>
      <c r="H13" s="109">
        <f>'Porovnání s r-1 (částky a)'!H13</f>
        <v>52982947</v>
      </c>
      <c r="I13" s="561">
        <f t="shared" si="1"/>
        <v>4118737</v>
      </c>
      <c r="K13" s="107">
        <f>'Porovnání s r-1 (částky a)'!K13</f>
        <v>4740185</v>
      </c>
      <c r="L13" s="109">
        <f>'Porovnání s r-1 (částky a)'!L13</f>
        <v>4753000</v>
      </c>
      <c r="M13" s="564">
        <f t="shared" si="2"/>
        <v>-12815</v>
      </c>
      <c r="O13" s="109">
        <f>'Porovnání s r-1 (částky a)'!O13</f>
        <v>7400332.737526522</v>
      </c>
      <c r="P13" s="109">
        <f>'Porovnání s r-1 (částky a)'!P13</f>
        <v>5374058</v>
      </c>
      <c r="Q13" s="109">
        <f t="shared" si="3"/>
        <v>2026274.737526522</v>
      </c>
      <c r="R13" s="111"/>
      <c r="S13" s="109">
        <f>'Porovnání s r-1 (částky a)'!S13</f>
        <v>202010722.00939202</v>
      </c>
      <c r="T13" s="109">
        <f>'Porovnání s r-1 (částky a)'!T13</f>
        <v>194085218</v>
      </c>
      <c r="U13" s="109">
        <f t="shared" si="4"/>
        <v>7925504.009392023</v>
      </c>
      <c r="V13" s="13" t="s">
        <v>385</v>
      </c>
      <c r="W13" s="14" t="s">
        <v>31</v>
      </c>
      <c r="Y13" s="11"/>
    </row>
    <row r="14" spans="1:25" ht="12.75" customHeight="1">
      <c r="A14" s="13" t="s">
        <v>386</v>
      </c>
      <c r="B14" s="27" t="s">
        <v>37</v>
      </c>
      <c r="C14" s="48">
        <f>'Porovnání s r-1 (částky a)'!C14</f>
        <v>284203999.9064229</v>
      </c>
      <c r="D14" s="109">
        <f>'Porovnání s r-1 (částky a)'!D14</f>
        <v>282441672</v>
      </c>
      <c r="E14" s="48">
        <f t="shared" si="0"/>
        <v>1762327.906422913</v>
      </c>
      <c r="G14" s="105">
        <f>'Porovnání s r-1 (částky a)'!G14</f>
        <v>117375426</v>
      </c>
      <c r="H14" s="109">
        <f>'Porovnání s r-1 (částky a)'!H14</f>
        <v>108909152</v>
      </c>
      <c r="I14" s="561">
        <f t="shared" si="1"/>
        <v>8466274</v>
      </c>
      <c r="K14" s="107">
        <f>'Porovnání s r-1 (částky a)'!K14</f>
        <v>13071000</v>
      </c>
      <c r="L14" s="109">
        <f>'Porovnání s r-1 (částky a)'!L14</f>
        <v>12923000</v>
      </c>
      <c r="M14" s="564">
        <f t="shared" si="2"/>
        <v>148000</v>
      </c>
      <c r="O14" s="109">
        <f>'Porovnání s r-1 (částky a)'!O14</f>
        <v>7642349.813417459</v>
      </c>
      <c r="P14" s="109">
        <f>'Porovnání s r-1 (částky a)'!P14</f>
        <v>7588049</v>
      </c>
      <c r="Q14" s="109">
        <f t="shared" si="3"/>
        <v>54300.81341745891</v>
      </c>
      <c r="R14" s="111"/>
      <c r="S14" s="109">
        <f>'Porovnání s r-1 (částky a)'!S14</f>
        <v>422292775.71984035</v>
      </c>
      <c r="T14" s="109">
        <f>'Porovnání s r-1 (částky a)'!T14</f>
        <v>411861873</v>
      </c>
      <c r="U14" s="109">
        <f t="shared" si="4"/>
        <v>10430902.719840348</v>
      </c>
      <c r="V14" s="13" t="s">
        <v>386</v>
      </c>
      <c r="W14" s="14" t="s">
        <v>37</v>
      </c>
      <c r="Y14" s="11"/>
    </row>
    <row r="15" spans="1:25" ht="12.75" customHeight="1">
      <c r="A15" s="13" t="s">
        <v>387</v>
      </c>
      <c r="B15" s="27" t="s">
        <v>72</v>
      </c>
      <c r="C15" s="48">
        <f>'Porovnání s r-1 (částky a)'!C15</f>
        <v>418393200.2012989</v>
      </c>
      <c r="D15" s="109">
        <f>'Porovnání s r-1 (částky a)'!D15</f>
        <v>413296024</v>
      </c>
      <c r="E15" s="48">
        <f t="shared" si="0"/>
        <v>5097176.2012988925</v>
      </c>
      <c r="G15" s="105">
        <f>'Porovnání s r-1 (částky a)'!G15</f>
        <v>305663682</v>
      </c>
      <c r="H15" s="109">
        <f>'Porovnání s r-1 (částky a)'!H15</f>
        <v>283616200</v>
      </c>
      <c r="I15" s="561">
        <f t="shared" si="1"/>
        <v>22047482</v>
      </c>
      <c r="K15" s="107">
        <f>'Porovnání s r-1 (částky a)'!K15</f>
        <v>27150000</v>
      </c>
      <c r="L15" s="109">
        <f>'Porovnání s r-1 (částky a)'!L15</f>
        <v>25499000</v>
      </c>
      <c r="M15" s="564">
        <f t="shared" si="2"/>
        <v>1651000</v>
      </c>
      <c r="O15" s="109">
        <f>'Porovnání s r-1 (částky a)'!O15</f>
        <v>25325928.748482633</v>
      </c>
      <c r="P15" s="109">
        <f>'Porovnání s r-1 (částky a)'!P15</f>
        <v>22533526</v>
      </c>
      <c r="Q15" s="109">
        <f t="shared" si="3"/>
        <v>2792402.7484826334</v>
      </c>
      <c r="R15" s="111"/>
      <c r="S15" s="109">
        <f>'Porovnání s r-1 (částky a)'!S15</f>
        <v>776532810.9497815</v>
      </c>
      <c r="T15" s="109">
        <f>'Porovnání s r-1 (částky a)'!T15</f>
        <v>744944750</v>
      </c>
      <c r="U15" s="109">
        <f t="shared" si="4"/>
        <v>31588060.949781537</v>
      </c>
      <c r="V15" s="13" t="s">
        <v>387</v>
      </c>
      <c r="W15" s="14" t="s">
        <v>72</v>
      </c>
      <c r="Y15" s="11"/>
    </row>
    <row r="16" spans="1:25" ht="12.75" customHeight="1">
      <c r="A16" s="13" t="s">
        <v>388</v>
      </c>
      <c r="B16" s="27" t="s">
        <v>81</v>
      </c>
      <c r="C16" s="48">
        <f>'Porovnání s r-1 (částky a)'!C16</f>
        <v>268125276.08180758</v>
      </c>
      <c r="D16" s="109">
        <f>'Porovnání s r-1 (částky a)'!D16</f>
        <v>265683410</v>
      </c>
      <c r="E16" s="48">
        <f t="shared" si="0"/>
        <v>2441866.0818075836</v>
      </c>
      <c r="G16" s="105">
        <f>'Porovnání s r-1 (částky a)'!G16</f>
        <v>373340804</v>
      </c>
      <c r="H16" s="109">
        <f>'Porovnání s r-1 (částky a)'!H16</f>
        <v>346411780</v>
      </c>
      <c r="I16" s="561">
        <f t="shared" si="1"/>
        <v>26929024</v>
      </c>
      <c r="K16" s="107">
        <f>'Porovnání s r-1 (částky a)'!K16</f>
        <v>18000021</v>
      </c>
      <c r="L16" s="109">
        <f>'Porovnání s r-1 (částky a)'!L16</f>
        <v>20752000</v>
      </c>
      <c r="M16" s="564">
        <f t="shared" si="2"/>
        <v>-2751979</v>
      </c>
      <c r="O16" s="109">
        <f>'Porovnání s r-1 (částky a)'!O16</f>
        <v>22384168.46238082</v>
      </c>
      <c r="P16" s="109">
        <f>'Porovnání s r-1 (částky a)'!P16</f>
        <v>20452615</v>
      </c>
      <c r="Q16" s="109">
        <f t="shared" si="3"/>
        <v>1931553.462380819</v>
      </c>
      <c r="R16" s="111"/>
      <c r="S16" s="109">
        <f>'Porovnání s r-1 (částky a)'!S16</f>
        <v>681850269.5441884</v>
      </c>
      <c r="T16" s="109">
        <f>'Porovnání s r-1 (částky a)'!T16</f>
        <v>653299805</v>
      </c>
      <c r="U16" s="109">
        <f t="shared" si="4"/>
        <v>28550464.54418838</v>
      </c>
      <c r="V16" s="13" t="s">
        <v>388</v>
      </c>
      <c r="W16" s="14" t="s">
        <v>81</v>
      </c>
      <c r="Y16" s="11"/>
    </row>
    <row r="17" spans="1:25" ht="12.75" customHeight="1">
      <c r="A17" s="13" t="s">
        <v>389</v>
      </c>
      <c r="B17" s="27" t="s">
        <v>87</v>
      </c>
      <c r="C17" s="48">
        <f>'Porovnání s r-1 (částky a)'!C17</f>
        <v>195921154.84897777</v>
      </c>
      <c r="D17" s="109">
        <f>'Porovnání s r-1 (částky a)'!D17</f>
        <v>193663624</v>
      </c>
      <c r="E17" s="48">
        <f t="shared" si="0"/>
        <v>2257530.8489777744</v>
      </c>
      <c r="G17" s="105">
        <f>'Porovnání s r-1 (částky a)'!G17</f>
        <v>25856376</v>
      </c>
      <c r="H17" s="109">
        <f>'Porovnání s r-1 (částky a)'!H17</f>
        <v>23991359</v>
      </c>
      <c r="I17" s="561">
        <f t="shared" si="1"/>
        <v>1865017</v>
      </c>
      <c r="K17" s="107">
        <f>'Porovnání s r-1 (částky a)'!K17</f>
        <v>3442000</v>
      </c>
      <c r="L17" s="109">
        <f>'Porovnání s r-1 (částky a)'!L17</f>
        <v>3415000</v>
      </c>
      <c r="M17" s="564">
        <f t="shared" si="2"/>
        <v>27000</v>
      </c>
      <c r="O17" s="109">
        <f>'Porovnání s r-1 (částky a)'!O17</f>
        <v>3380257.885489889</v>
      </c>
      <c r="P17" s="109">
        <f>'Porovnání s r-1 (částky a)'!P17</f>
        <v>3827315</v>
      </c>
      <c r="Q17" s="109">
        <f t="shared" si="3"/>
        <v>-447057.11451011105</v>
      </c>
      <c r="R17" s="111"/>
      <c r="S17" s="109">
        <f>'Porovnání s r-1 (částky a)'!S17</f>
        <v>228599788.73446766</v>
      </c>
      <c r="T17" s="109">
        <f>'Porovnání s r-1 (částky a)'!T17</f>
        <v>224897298</v>
      </c>
      <c r="U17" s="109">
        <f t="shared" si="4"/>
        <v>3702490.7344676554</v>
      </c>
      <c r="V17" s="13" t="s">
        <v>389</v>
      </c>
      <c r="W17" s="14" t="s">
        <v>87</v>
      </c>
      <c r="Y17" s="11"/>
    </row>
    <row r="18" spans="1:25" ht="12.75" customHeight="1">
      <c r="A18" s="13" t="s">
        <v>390</v>
      </c>
      <c r="B18" s="41" t="s">
        <v>45</v>
      </c>
      <c r="C18" s="48">
        <f>'Porovnání s r-1 (částky a)'!C18</f>
        <v>214765668.55781102</v>
      </c>
      <c r="D18" s="109">
        <f>'Porovnání s r-1 (částky a)'!D18</f>
        <v>204073566</v>
      </c>
      <c r="E18" s="48">
        <f t="shared" si="0"/>
        <v>10692102.557811022</v>
      </c>
      <c r="G18" s="105">
        <f>'Porovnání s r-1 (částky a)'!G18</f>
        <v>47080743</v>
      </c>
      <c r="H18" s="109">
        <f>'Porovnání s r-1 (částky a)'!H18</f>
        <v>43684815</v>
      </c>
      <c r="I18" s="561">
        <f t="shared" si="1"/>
        <v>3395928</v>
      </c>
      <c r="K18" s="107">
        <f>'Porovnání s r-1 (částky a)'!K18</f>
        <v>6198000</v>
      </c>
      <c r="L18" s="109">
        <f>'Porovnání s r-1 (částky a)'!L18</f>
        <v>5334000</v>
      </c>
      <c r="M18" s="564">
        <f t="shared" si="2"/>
        <v>864000</v>
      </c>
      <c r="O18" s="109">
        <f>'Porovnání s r-1 (částky a)'!O18</f>
        <v>8707610.545422884</v>
      </c>
      <c r="P18" s="109">
        <f>'Porovnání s r-1 (částky a)'!P18</f>
        <v>7454165</v>
      </c>
      <c r="Q18" s="109">
        <f t="shared" si="3"/>
        <v>1253445.5454228837</v>
      </c>
      <c r="R18" s="111"/>
      <c r="S18" s="109">
        <f>'Porovnání s r-1 (částky a)'!S18</f>
        <v>276752022.10323393</v>
      </c>
      <c r="T18" s="109">
        <f>'Porovnání s r-1 (částky a)'!T18</f>
        <v>260546546</v>
      </c>
      <c r="U18" s="109">
        <f t="shared" si="4"/>
        <v>16205476.103233933</v>
      </c>
      <c r="V18" s="13" t="s">
        <v>390</v>
      </c>
      <c r="W18" s="14" t="s">
        <v>45</v>
      </c>
      <c r="Y18" s="11"/>
    </row>
    <row r="19" spans="1:25" ht="12.75" customHeight="1">
      <c r="A19" s="13" t="s">
        <v>391</v>
      </c>
      <c r="B19" s="27" t="s">
        <v>94</v>
      </c>
      <c r="C19" s="48">
        <f>'Porovnání s r-1 (částky a)'!C19</f>
        <v>114538297.71690284</v>
      </c>
      <c r="D19" s="109">
        <f>'Porovnání s r-1 (částky a)'!D19</f>
        <v>112269720</v>
      </c>
      <c r="E19" s="48">
        <f t="shared" si="0"/>
        <v>2268577.716902837</v>
      </c>
      <c r="G19" s="105">
        <f>'Porovnání s r-1 (částky a)'!G19</f>
        <v>10592282</v>
      </c>
      <c r="H19" s="109">
        <f>'Porovnání s r-1 (částky a)'!H19</f>
        <v>9828262</v>
      </c>
      <c r="I19" s="561">
        <f t="shared" si="1"/>
        <v>764020</v>
      </c>
      <c r="K19" s="107">
        <f>'Porovnání s r-1 (částky a)'!K19</f>
        <v>1843000</v>
      </c>
      <c r="L19" s="109">
        <f>'Porovnání s r-1 (částky a)'!L19</f>
        <v>1546000</v>
      </c>
      <c r="M19" s="564">
        <f t="shared" si="2"/>
        <v>297000</v>
      </c>
      <c r="O19" s="109">
        <f>'Porovnání s r-1 (částky a)'!O19</f>
        <v>14969382.970531588</v>
      </c>
      <c r="P19" s="109">
        <f>'Porovnání s r-1 (částky a)'!P19</f>
        <v>16732624</v>
      </c>
      <c r="Q19" s="109">
        <f t="shared" si="3"/>
        <v>-1763241.0294684116</v>
      </c>
      <c r="R19" s="111"/>
      <c r="S19" s="109">
        <f>'Porovnání s r-1 (částky a)'!S19</f>
        <v>141942962.68743443</v>
      </c>
      <c r="T19" s="109">
        <f>'Porovnání s r-1 (částky a)'!T19</f>
        <v>140376606</v>
      </c>
      <c r="U19" s="109">
        <f t="shared" si="4"/>
        <v>1566356.687434435</v>
      </c>
      <c r="V19" s="13" t="s">
        <v>391</v>
      </c>
      <c r="W19" s="14" t="s">
        <v>94</v>
      </c>
      <c r="Y19" s="11"/>
    </row>
    <row r="20" spans="1:25" ht="12.75" customHeight="1">
      <c r="A20" s="13" t="s">
        <v>392</v>
      </c>
      <c r="B20" s="27" t="s">
        <v>58</v>
      </c>
      <c r="C20" s="48">
        <f>'Porovnání s r-1 (částky a)'!C20</f>
        <v>97569084.94878846</v>
      </c>
      <c r="D20" s="109">
        <f>'Porovnání s r-1 (částky a)'!D20</f>
        <v>97269833</v>
      </c>
      <c r="E20" s="48">
        <f t="shared" si="0"/>
        <v>299251.94878846407</v>
      </c>
      <c r="G20" s="105">
        <f>'Porovnání s r-1 (částky a)'!G20</f>
        <v>24514064</v>
      </c>
      <c r="H20" s="109">
        <f>'Porovnání s r-1 (částky a)'!H20</f>
        <v>22745868</v>
      </c>
      <c r="I20" s="561">
        <f t="shared" si="1"/>
        <v>1768196</v>
      </c>
      <c r="K20" s="107">
        <f>'Porovnání s r-1 (částky a)'!K20</f>
        <v>3264000</v>
      </c>
      <c r="L20" s="109">
        <f>'Porovnání s r-1 (částky a)'!L20</f>
        <v>3045000</v>
      </c>
      <c r="M20" s="564">
        <f t="shared" si="2"/>
        <v>219000</v>
      </c>
      <c r="O20" s="109">
        <f>'Porovnání s r-1 (částky a)'!O20</f>
        <v>6817004.423971298</v>
      </c>
      <c r="P20" s="109">
        <f>'Porovnání s r-1 (částky a)'!P20</f>
        <v>4546170</v>
      </c>
      <c r="Q20" s="109">
        <f t="shared" si="3"/>
        <v>2270834.423971298</v>
      </c>
      <c r="R20" s="111"/>
      <c r="S20" s="109">
        <f>'Porovnání s r-1 (částky a)'!S20</f>
        <v>132164153.37275976</v>
      </c>
      <c r="T20" s="109">
        <f>'Porovnání s r-1 (částky a)'!T20</f>
        <v>127606871</v>
      </c>
      <c r="U20" s="109">
        <f t="shared" si="4"/>
        <v>4557282.372759759</v>
      </c>
      <c r="V20" s="13" t="s">
        <v>392</v>
      </c>
      <c r="W20" s="14" t="s">
        <v>58</v>
      </c>
      <c r="Y20" s="11"/>
    </row>
    <row r="21" spans="1:25" ht="12.75" customHeight="1">
      <c r="A21" s="29" t="s">
        <v>393</v>
      </c>
      <c r="B21" s="78" t="s">
        <v>373</v>
      </c>
      <c r="C21" s="48">
        <f>'Porovnání s r-1 (částky a)'!C21</f>
        <v>9867269.450970173</v>
      </c>
      <c r="D21" s="109">
        <f>'Porovnání s r-1 (částky a)'!D21</f>
        <v>11587304</v>
      </c>
      <c r="E21" s="48">
        <f t="shared" si="0"/>
        <v>-1720034.5490298271</v>
      </c>
      <c r="G21" s="105">
        <f>'Porovnání s r-1 (částky a)'!G21</f>
        <v>8019816</v>
      </c>
      <c r="H21" s="109">
        <f>'Porovnání s r-1 (částky a)'!H21</f>
        <v>7441448.079789395</v>
      </c>
      <c r="I21" s="561">
        <f t="shared" si="1"/>
        <v>578367.9202106046</v>
      </c>
      <c r="K21" s="107">
        <f>'Porovnání s r-1 (částky a)'!K21</f>
        <v>1092000</v>
      </c>
      <c r="L21" s="109">
        <f>'Porovnání s r-1 (částky a)'!L21</f>
        <v>688312</v>
      </c>
      <c r="M21" s="564">
        <f t="shared" si="2"/>
        <v>403688</v>
      </c>
      <c r="O21" s="109">
        <f>'Porovnání s r-1 (částky a)'!O21</f>
        <v>71933.55672950743</v>
      </c>
      <c r="P21" s="109">
        <f>'Porovnání s r-1 (částky a)'!P21</f>
        <v>65596</v>
      </c>
      <c r="Q21" s="109">
        <f t="shared" si="3"/>
        <v>6337.556729507429</v>
      </c>
      <c r="R21" s="111"/>
      <c r="S21" s="109">
        <f>'Porovnání s r-1 (částky a)'!S21</f>
        <v>19051019.00769968</v>
      </c>
      <c r="T21" s="109">
        <f>'Porovnání s r-1 (částky a)'!T21</f>
        <v>19782660.079789396</v>
      </c>
      <c r="U21" s="109">
        <f t="shared" si="4"/>
        <v>-731641.0720897168</v>
      </c>
      <c r="V21" s="13" t="s">
        <v>393</v>
      </c>
      <c r="W21" s="14" t="s">
        <v>373</v>
      </c>
      <c r="Y21" s="11"/>
    </row>
    <row r="22" spans="1:25" ht="12.75" customHeight="1">
      <c r="A22" s="49" t="s">
        <v>421</v>
      </c>
      <c r="B22" s="68"/>
      <c r="C22" s="48">
        <f>SUM(C4:C21)</f>
        <v>3075041090.45097</v>
      </c>
      <c r="D22" s="103">
        <f>SUM(D4:D21)</f>
        <v>3037659359</v>
      </c>
      <c r="E22" s="48">
        <f t="shared" si="0"/>
        <v>37381731.45097017</v>
      </c>
      <c r="G22" s="105">
        <f>SUM(G4:G21)</f>
        <v>1346880136</v>
      </c>
      <c r="H22" s="103">
        <f>SUM(H4:H21)</f>
        <v>1249729946.0797894</v>
      </c>
      <c r="I22" s="561">
        <f t="shared" si="1"/>
        <v>97150189.9202106</v>
      </c>
      <c r="K22" s="107">
        <f>SUM(K4:K21)</f>
        <v>122705706</v>
      </c>
      <c r="L22" s="109">
        <f>SUM(L4:L21)</f>
        <v>115393312</v>
      </c>
      <c r="M22" s="564">
        <f t="shared" si="2"/>
        <v>7312394</v>
      </c>
      <c r="O22" s="109">
        <f>SUM(O4:O21)</f>
        <v>155396038.22437933</v>
      </c>
      <c r="P22" s="109">
        <f>SUM(P4:P21)</f>
        <v>130860231</v>
      </c>
      <c r="Q22" s="109">
        <f t="shared" si="3"/>
        <v>24535807.22437933</v>
      </c>
      <c r="R22" s="110"/>
      <c r="S22" s="109">
        <f>SUM(S4:S21)</f>
        <v>4700022970.675349</v>
      </c>
      <c r="T22" s="109">
        <f>SUM(T4:T21)</f>
        <v>4533642848.079789</v>
      </c>
      <c r="U22" s="109">
        <f t="shared" si="4"/>
        <v>166380122.59556007</v>
      </c>
      <c r="V22" s="49" t="s">
        <v>421</v>
      </c>
      <c r="W22" s="50"/>
      <c r="Y22" s="11"/>
    </row>
    <row r="23" spans="1:23" ht="12.75" customHeight="1">
      <c r="A23" s="30"/>
      <c r="B23" s="31"/>
      <c r="C23">
        <f>'1 Příspěvek na vzdělávání'!E23+'5 Koheze'!J23+'5 Koheze'!K23+'4.6 RUK'!C23</f>
        <v>0</v>
      </c>
      <c r="O23" s="16"/>
      <c r="P23" s="16"/>
      <c r="Q23" s="16"/>
      <c r="R23" s="16"/>
      <c r="S23" s="16"/>
      <c r="T23" s="16"/>
      <c r="U23" s="16"/>
      <c r="V23" s="30"/>
      <c r="W23" s="31"/>
    </row>
    <row r="24" spans="1:25" ht="12.75" customHeight="1">
      <c r="A24" s="33" t="s">
        <v>401</v>
      </c>
      <c r="B24" s="34" t="s">
        <v>402</v>
      </c>
      <c r="C24" s="48">
        <f>'Porovnání s r-1 (částky a)'!C24</f>
        <v>0</v>
      </c>
      <c r="D24" s="103">
        <f>'Porovnání s r-1 (částky a)'!D24</f>
        <v>0</v>
      </c>
      <c r="E24" s="48">
        <f t="shared" si="0"/>
        <v>0</v>
      </c>
      <c r="G24" s="105">
        <f>'Porovnání s r-1 (částky a)'!G24</f>
        <v>0</v>
      </c>
      <c r="H24" s="103">
        <f>'Porovnání s r-1 (částky a)'!H24</f>
        <v>0</v>
      </c>
      <c r="I24" s="561">
        <f t="shared" si="1"/>
        <v>0</v>
      </c>
      <c r="K24" s="107">
        <f>'Porovnání s r-1 (částky a)'!K24</f>
        <v>0</v>
      </c>
      <c r="L24" s="103">
        <f>'Porovnání s r-1 (částky a)'!L24</f>
        <v>0</v>
      </c>
      <c r="M24" s="564">
        <f t="shared" si="2"/>
        <v>0</v>
      </c>
      <c r="O24" s="109">
        <f>'Porovnání s r-1 (částky a)'!O24</f>
        <v>0</v>
      </c>
      <c r="P24" s="109">
        <f>'Porovnání s r-1 (částky a)'!P24</f>
        <v>0</v>
      </c>
      <c r="Q24" s="109">
        <f t="shared" si="3"/>
        <v>0</v>
      </c>
      <c r="R24" s="111"/>
      <c r="S24" s="109">
        <f>'Porovnání s r-1 (částky a)'!S24</f>
        <v>0</v>
      </c>
      <c r="T24" s="109">
        <f>'Porovnání s r-1 (částky a)'!T24</f>
        <v>0</v>
      </c>
      <c r="U24" s="109">
        <f t="shared" si="4"/>
        <v>0</v>
      </c>
      <c r="V24" s="33" t="s">
        <v>401</v>
      </c>
      <c r="W24" s="34" t="s">
        <v>402</v>
      </c>
      <c r="Y24" s="11"/>
    </row>
    <row r="25" spans="1:25" ht="12.75" customHeight="1">
      <c r="A25" s="112" t="s">
        <v>403</v>
      </c>
      <c r="B25" s="113" t="s">
        <v>419</v>
      </c>
      <c r="C25" s="114">
        <f>'1 Příspěvek na vzdělávání'!E25+'5 Koheze'!J25+'5 Koheze'!K25+'4.6 RUK'!C25</f>
        <v>176481398</v>
      </c>
      <c r="D25" s="115">
        <f>SUM(D26:D32)</f>
        <v>174338725</v>
      </c>
      <c r="E25" s="114">
        <f t="shared" si="0"/>
        <v>2142673</v>
      </c>
      <c r="G25" s="117">
        <f>'2 Podpora vědy'!E26+'4.6 RUK'!D25</f>
        <v>129697608</v>
      </c>
      <c r="H25" s="115">
        <f>SUM(H26:H32)</f>
        <v>120347582.91982192</v>
      </c>
      <c r="I25" s="759">
        <f t="shared" si="1"/>
        <v>9350025.080178082</v>
      </c>
      <c r="K25" s="119">
        <f>'3 SVV'!C25</f>
        <v>0</v>
      </c>
      <c r="L25" s="115">
        <v>0</v>
      </c>
      <c r="M25" s="764">
        <f t="shared" si="2"/>
        <v>0</v>
      </c>
      <c r="O25" s="121">
        <f>SUM(O26:O32)</f>
        <v>6566008.740275284</v>
      </c>
      <c r="P25" s="121">
        <f>SUM(P26:P32)</f>
        <v>5294240</v>
      </c>
      <c r="Q25" s="121">
        <f t="shared" si="3"/>
        <v>1271768.7402752843</v>
      </c>
      <c r="R25" s="123"/>
      <c r="S25" s="121">
        <f>SUM(S26:S32)</f>
        <v>312745014.74027526</v>
      </c>
      <c r="T25" s="121">
        <f>SUM(T26:T32)</f>
        <v>299980547.91982186</v>
      </c>
      <c r="U25" s="121">
        <f t="shared" si="4"/>
        <v>12764466.820453405</v>
      </c>
      <c r="V25" s="112" t="s">
        <v>403</v>
      </c>
      <c r="W25" s="113" t="s">
        <v>419</v>
      </c>
      <c r="Y25" s="1081"/>
    </row>
    <row r="26" spans="1:25" ht="12.75" customHeight="1">
      <c r="A26" s="83" t="s">
        <v>405</v>
      </c>
      <c r="B26" s="750" t="s">
        <v>406</v>
      </c>
      <c r="C26" s="753">
        <f>'Porovnání s r-1 (částky a)'!C26</f>
        <v>100124672</v>
      </c>
      <c r="D26" s="731">
        <f>'Porovnání s r-1 (částky a)'!D26</f>
        <v>98909051</v>
      </c>
      <c r="E26" s="753">
        <f t="shared" si="0"/>
        <v>1215621</v>
      </c>
      <c r="F26" s="728"/>
      <c r="G26" s="719">
        <f>'Porovnání s r-1 (částky a)'!G26</f>
        <v>75826923</v>
      </c>
      <c r="H26" s="731">
        <f>'Porovnání s r-1 (částky a)'!H26</f>
        <v>70360945.42306401</v>
      </c>
      <c r="I26" s="761">
        <f t="shared" si="1"/>
        <v>5465977.576935992</v>
      </c>
      <c r="J26" s="728"/>
      <c r="K26" s="731">
        <f>'Porovnání s r-1 (částky a)'!K26</f>
        <v>0</v>
      </c>
      <c r="L26" s="734">
        <f>'Porovnání s r-1 (částky a)'!L26</f>
        <v>0</v>
      </c>
      <c r="M26" s="731">
        <f t="shared" si="2"/>
        <v>0</v>
      </c>
      <c r="N26" s="728"/>
      <c r="O26" s="738">
        <f>'Porovnání s r-1 (částky a)'!O26</f>
        <v>3495858.708674278</v>
      </c>
      <c r="P26" s="738">
        <f>'Porovnání s r-1 (částky a)'!P26</f>
        <v>3505658</v>
      </c>
      <c r="Q26" s="738">
        <f t="shared" si="3"/>
        <v>-9799.29132572189</v>
      </c>
      <c r="R26" s="744"/>
      <c r="S26" s="738">
        <f>'Porovnání s r-1 (částky a)'!S26</f>
        <v>179447453.70867428</v>
      </c>
      <c r="T26" s="738">
        <f>'Porovnání s r-1 (částky a)'!T26</f>
        <v>172775654.423064</v>
      </c>
      <c r="U26" s="738">
        <f t="shared" si="4"/>
        <v>6671799.285610288</v>
      </c>
      <c r="V26" s="747" t="s">
        <v>405</v>
      </c>
      <c r="W26" s="124" t="s">
        <v>406</v>
      </c>
      <c r="Y26" s="11"/>
    </row>
    <row r="27" spans="1:27" s="6" customFormat="1" ht="12.75" customHeight="1">
      <c r="A27" s="84"/>
      <c r="B27" s="331" t="s">
        <v>407</v>
      </c>
      <c r="C27" s="754">
        <f>'Porovnání s r-1 (částky a)'!C27</f>
        <v>0</v>
      </c>
      <c r="D27" s="732">
        <f>'Porovnání s r-1 (částky a)'!D27</f>
        <v>0</v>
      </c>
      <c r="E27" s="754">
        <f t="shared" si="0"/>
        <v>0</v>
      </c>
      <c r="F27" s="729"/>
      <c r="G27" s="720">
        <f>'Porovnání s r-1 (částky a)'!G27</f>
        <v>9600374</v>
      </c>
      <c r="H27" s="732">
        <f>'Porovnání s r-1 (částky a)'!H27</f>
        <v>8908000.079789396</v>
      </c>
      <c r="I27" s="762">
        <f t="shared" si="1"/>
        <v>692373.9202106036</v>
      </c>
      <c r="J27" s="729"/>
      <c r="K27" s="732">
        <f>'Porovnání s r-1 (částky a)'!K27</f>
        <v>0</v>
      </c>
      <c r="L27" s="732">
        <f>'Porovnání s r-1 (částky a)'!L27</f>
        <v>0</v>
      </c>
      <c r="M27" s="732">
        <f t="shared" si="2"/>
        <v>0</v>
      </c>
      <c r="N27" s="729"/>
      <c r="O27" s="739">
        <f>'Porovnání s r-1 (částky a)'!O27</f>
        <v>0</v>
      </c>
      <c r="P27" s="739">
        <f>'Porovnání s r-1 (částky a)'!P27</f>
        <v>0</v>
      </c>
      <c r="Q27" s="739">
        <f t="shared" si="3"/>
        <v>0</v>
      </c>
      <c r="R27" s="745"/>
      <c r="S27" s="739">
        <f>'Porovnání s r-1 (částky a)'!S27</f>
        <v>9600374</v>
      </c>
      <c r="T27" s="739">
        <f>'Porovnání s r-1 (částky a)'!T27</f>
        <v>8908000.079789396</v>
      </c>
      <c r="U27" s="739">
        <f t="shared" si="4"/>
        <v>692373.9202106036</v>
      </c>
      <c r="V27" s="748"/>
      <c r="W27" s="125" t="s">
        <v>407</v>
      </c>
      <c r="Z27"/>
      <c r="AA27"/>
    </row>
    <row r="28" spans="1:27" s="6" customFormat="1" ht="12.75" customHeight="1">
      <c r="A28" s="84"/>
      <c r="B28" s="331" t="s">
        <v>408</v>
      </c>
      <c r="C28" s="754">
        <f>'Porovnání s r-1 (částky a)'!C28</f>
        <v>0</v>
      </c>
      <c r="D28" s="732">
        <f>'Porovnání s r-1 (částky a)'!D28</f>
        <v>0</v>
      </c>
      <c r="E28" s="754">
        <f t="shared" si="0"/>
        <v>0</v>
      </c>
      <c r="F28" s="729"/>
      <c r="G28" s="720">
        <f>'Porovnání s r-1 (částky a)'!G28</f>
        <v>13226924</v>
      </c>
      <c r="H28" s="732">
        <f>'Porovnání s r-1 (částky a)'!H28</f>
        <v>12273151.892736621</v>
      </c>
      <c r="I28" s="762">
        <f t="shared" si="1"/>
        <v>953772.1072633788</v>
      </c>
      <c r="J28" s="729"/>
      <c r="K28" s="732">
        <f>'Porovnání s r-1 (částky a)'!K28</f>
        <v>0</v>
      </c>
      <c r="L28" s="732">
        <f>'Porovnání s r-1 (částky a)'!L28</f>
        <v>0</v>
      </c>
      <c r="M28" s="732">
        <f t="shared" si="2"/>
        <v>0</v>
      </c>
      <c r="N28" s="729"/>
      <c r="O28" s="739">
        <f>'Porovnání s r-1 (částky a)'!O28</f>
        <v>60039.0316010062</v>
      </c>
      <c r="P28" s="739">
        <f>'Porovnání s r-1 (částky a)'!P28</f>
        <v>60802</v>
      </c>
      <c r="Q28" s="739">
        <f t="shared" si="3"/>
        <v>-762.9683989937985</v>
      </c>
      <c r="R28" s="745"/>
      <c r="S28" s="739">
        <f>'Porovnání s r-1 (částky a)'!S28</f>
        <v>13286963.031601006</v>
      </c>
      <c r="T28" s="739">
        <f>'Porovnání s r-1 (částky a)'!T28</f>
        <v>12333953.892736621</v>
      </c>
      <c r="U28" s="739">
        <f t="shared" si="4"/>
        <v>953009.138864385</v>
      </c>
      <c r="V28" s="748"/>
      <c r="W28" s="125" t="s">
        <v>408</v>
      </c>
      <c r="Z28"/>
      <c r="AA28"/>
    </row>
    <row r="29" spans="1:27" s="6" customFormat="1" ht="12.75" customHeight="1">
      <c r="A29" s="84"/>
      <c r="B29" s="331" t="s">
        <v>409</v>
      </c>
      <c r="C29" s="754">
        <f>'Porovnání s r-1 (částky a)'!C29</f>
        <v>0</v>
      </c>
      <c r="D29" s="732">
        <f>'Porovnání s r-1 (částky a)'!D29</f>
        <v>0</v>
      </c>
      <c r="E29" s="754">
        <f t="shared" si="0"/>
        <v>0</v>
      </c>
      <c r="F29" s="729"/>
      <c r="G29" s="720">
        <f>'Porovnání s r-1 (částky a)'!G29</f>
        <v>5329450</v>
      </c>
      <c r="H29" s="732">
        <f>'Porovnání s r-1 (částky a)'!H29</f>
        <v>4945277.301719112</v>
      </c>
      <c r="I29" s="762">
        <f t="shared" si="1"/>
        <v>384172.6982808877</v>
      </c>
      <c r="J29" s="729"/>
      <c r="K29" s="732">
        <f>'Porovnání s r-1 (částky a)'!K29</f>
        <v>0</v>
      </c>
      <c r="L29" s="732">
        <f>'Porovnání s r-1 (částky a)'!L29</f>
        <v>0</v>
      </c>
      <c r="M29" s="732">
        <f t="shared" si="2"/>
        <v>0</v>
      </c>
      <c r="N29" s="729"/>
      <c r="O29" s="739">
        <f>'Porovnání s r-1 (částky a)'!O29</f>
        <v>0</v>
      </c>
      <c r="P29" s="739">
        <f>'Porovnání s r-1 (částky a)'!P29</f>
        <v>0</v>
      </c>
      <c r="Q29" s="739">
        <f t="shared" si="3"/>
        <v>0</v>
      </c>
      <c r="R29" s="745"/>
      <c r="S29" s="739">
        <f>'Porovnání s r-1 (částky a)'!S29</f>
        <v>5329450</v>
      </c>
      <c r="T29" s="739">
        <f>'Porovnání s r-1 (částky a)'!T29</f>
        <v>4945277.301719112</v>
      </c>
      <c r="U29" s="739">
        <f t="shared" si="4"/>
        <v>384172.6982808877</v>
      </c>
      <c r="V29" s="748"/>
      <c r="W29" s="125" t="s">
        <v>409</v>
      </c>
      <c r="Z29"/>
      <c r="AA29"/>
    </row>
    <row r="30" spans="1:27" s="6" customFormat="1" ht="12.75" customHeight="1">
      <c r="A30" s="84"/>
      <c r="B30" s="331" t="s">
        <v>411</v>
      </c>
      <c r="C30" s="754">
        <f>'Porovnání s r-1 (částky a)'!C30</f>
        <v>2078478</v>
      </c>
      <c r="D30" s="732">
        <f>'Porovnání s r-1 (částky a)'!D30</f>
        <v>2053243</v>
      </c>
      <c r="E30" s="754">
        <f t="shared" si="0"/>
        <v>25235</v>
      </c>
      <c r="F30" s="729"/>
      <c r="G30" s="720">
        <f>'Porovnání s r-1 (částky a)'!G30</f>
        <v>9387566</v>
      </c>
      <c r="H30" s="732">
        <f>'Porovnání s r-1 (částky a)'!H30</f>
        <v>8710722.36587219</v>
      </c>
      <c r="I30" s="762">
        <f t="shared" si="1"/>
        <v>676843.6341278106</v>
      </c>
      <c r="J30" s="729"/>
      <c r="K30" s="732">
        <f>'Porovnání s r-1 (částky a)'!K30</f>
        <v>0</v>
      </c>
      <c r="L30" s="732">
        <f>'Porovnání s r-1 (částky a)'!L30</f>
        <v>0</v>
      </c>
      <c r="M30" s="732">
        <f t="shared" si="2"/>
        <v>0</v>
      </c>
      <c r="N30" s="729"/>
      <c r="O30" s="739">
        <f>'Porovnání s r-1 (částky a)'!O30</f>
        <v>3010111</v>
      </c>
      <c r="P30" s="739">
        <f>'Porovnání s r-1 (částky a)'!P30</f>
        <v>1727780</v>
      </c>
      <c r="Q30" s="739">
        <f t="shared" si="3"/>
        <v>1282331</v>
      </c>
      <c r="R30" s="745"/>
      <c r="S30" s="739">
        <f>'Porovnání s r-1 (částky a)'!S30</f>
        <v>14476155</v>
      </c>
      <c r="T30" s="739">
        <f>'Porovnání s r-1 (částky a)'!T30</f>
        <v>12491745.36587219</v>
      </c>
      <c r="U30" s="739">
        <f t="shared" si="4"/>
        <v>1984409.6341278106</v>
      </c>
      <c r="V30" s="748"/>
      <c r="W30" s="125" t="s">
        <v>411</v>
      </c>
      <c r="Z30"/>
      <c r="AA30"/>
    </row>
    <row r="31" spans="1:27" s="6" customFormat="1" ht="12.75" customHeight="1">
      <c r="A31" s="84"/>
      <c r="B31" s="751" t="s">
        <v>412</v>
      </c>
      <c r="C31" s="754">
        <f>'Porovnání s r-1 (částky a)'!C31</f>
        <v>57978603</v>
      </c>
      <c r="D31" s="732">
        <f>'Porovnání s r-1 (částky a)'!D31</f>
        <v>57274681</v>
      </c>
      <c r="E31" s="754">
        <f t="shared" si="0"/>
        <v>703922</v>
      </c>
      <c r="F31" s="729"/>
      <c r="G31" s="720">
        <f>'Porovnání s r-1 (částky a)'!G31</f>
        <v>11560288</v>
      </c>
      <c r="H31" s="732">
        <f>'Porovnání s r-1 (částky a)'!H31</f>
        <v>10726965.140726868</v>
      </c>
      <c r="I31" s="762">
        <f t="shared" si="1"/>
        <v>833322.8592731319</v>
      </c>
      <c r="J31" s="729"/>
      <c r="K31" s="732">
        <f>'Porovnání s r-1 (částky a)'!K31</f>
        <v>0</v>
      </c>
      <c r="L31" s="732">
        <f>'Porovnání s r-1 (částky a)'!L31</f>
        <v>0</v>
      </c>
      <c r="M31" s="732">
        <f t="shared" si="2"/>
        <v>0</v>
      </c>
      <c r="N31" s="729"/>
      <c r="O31" s="739">
        <f>'Porovnání s r-1 (částky a)'!O31</f>
        <v>0</v>
      </c>
      <c r="P31" s="739">
        <f>'Porovnání s r-1 (částky a)'!P31</f>
        <v>0</v>
      </c>
      <c r="Q31" s="739">
        <f t="shared" si="3"/>
        <v>0</v>
      </c>
      <c r="R31" s="745"/>
      <c r="S31" s="739">
        <f>'Porovnání s r-1 (částky a)'!S31</f>
        <v>69538891</v>
      </c>
      <c r="T31" s="739">
        <f>'Porovnání s r-1 (částky a)'!T31</f>
        <v>68001646.14072686</v>
      </c>
      <c r="U31" s="739">
        <f t="shared" si="4"/>
        <v>1537244.8592731357</v>
      </c>
      <c r="V31" s="748"/>
      <c r="W31" s="125" t="s">
        <v>412</v>
      </c>
      <c r="Z31"/>
      <c r="AA31"/>
    </row>
    <row r="32" spans="1:27" s="6" customFormat="1" ht="12.75" customHeight="1">
      <c r="A32" s="85"/>
      <c r="B32" s="752" t="s">
        <v>413</v>
      </c>
      <c r="C32" s="755">
        <f>'Porovnání s r-1 (částky a)'!C32</f>
        <v>16299645</v>
      </c>
      <c r="D32" s="733">
        <f>'Porovnání s r-1 (částky a)'!D32</f>
        <v>16101750</v>
      </c>
      <c r="E32" s="755">
        <f t="shared" si="0"/>
        <v>197895</v>
      </c>
      <c r="F32" s="730"/>
      <c r="G32" s="721">
        <f>'Porovnání s r-1 (částky a)'!G32</f>
        <v>4766083</v>
      </c>
      <c r="H32" s="733">
        <f>'Porovnání s r-1 (částky a)'!H32</f>
        <v>4422520.715913709</v>
      </c>
      <c r="I32" s="763">
        <f t="shared" si="1"/>
        <v>343562.28408629075</v>
      </c>
      <c r="J32" s="730"/>
      <c r="K32" s="733">
        <f>'Porovnání s r-1 (částky a)'!K32</f>
        <v>0</v>
      </c>
      <c r="L32" s="733">
        <f>'Porovnání s r-1 (částky a)'!L32</f>
        <v>0</v>
      </c>
      <c r="M32" s="733">
        <f t="shared" si="2"/>
        <v>0</v>
      </c>
      <c r="N32" s="730"/>
      <c r="O32" s="740">
        <f>'Porovnání s r-1 (částky a)'!O32</f>
        <v>0</v>
      </c>
      <c r="P32" s="740">
        <f>'Porovnání s r-1 (částky a)'!P32</f>
        <v>0</v>
      </c>
      <c r="Q32" s="740">
        <f t="shared" si="3"/>
        <v>0</v>
      </c>
      <c r="R32" s="746"/>
      <c r="S32" s="740">
        <f>'Porovnání s r-1 (částky a)'!S32</f>
        <v>21065728</v>
      </c>
      <c r="T32" s="740">
        <f>'Porovnání s r-1 (částky a)'!T32</f>
        <v>20524270.71591371</v>
      </c>
      <c r="U32" s="740">
        <f t="shared" si="4"/>
        <v>541457.2840862907</v>
      </c>
      <c r="V32" s="749"/>
      <c r="W32" s="126" t="s">
        <v>413</v>
      </c>
      <c r="Z32"/>
      <c r="AA32"/>
    </row>
    <row r="33" spans="1:25" ht="12.75" customHeight="1">
      <c r="A33" s="127" t="s">
        <v>414</v>
      </c>
      <c r="B33" s="128" t="s">
        <v>415</v>
      </c>
      <c r="C33" s="129">
        <f>'Porovnání s r-1 (částky a)'!C33</f>
        <v>87843053</v>
      </c>
      <c r="D33" s="18">
        <f>'Porovnání s r-1 (částky a)'!D33</f>
        <v>86776544</v>
      </c>
      <c r="E33" s="129">
        <f t="shared" si="0"/>
        <v>1066509</v>
      </c>
      <c r="G33" s="131">
        <f>'Porovnání s r-1 (částky a)'!G33</f>
        <v>0</v>
      </c>
      <c r="H33" s="18">
        <f>'Porovnání s r-1 (částky a)'!H33</f>
        <v>0</v>
      </c>
      <c r="I33" s="760">
        <f t="shared" si="1"/>
        <v>0</v>
      </c>
      <c r="K33" s="133">
        <f>'Porovnání s r-1 (částky a)'!K33</f>
        <v>0</v>
      </c>
      <c r="L33" s="18">
        <f>'Porovnání s r-1 (částky a)'!L33</f>
        <v>0</v>
      </c>
      <c r="M33" s="765">
        <f t="shared" si="2"/>
        <v>0</v>
      </c>
      <c r="O33" s="135">
        <f>'Porovnání s r-1 (částky a)'!O33</f>
        <v>7268726.468908806</v>
      </c>
      <c r="P33" s="135">
        <f>'Porovnání s r-1 (částky a)'!P33</f>
        <v>7016074</v>
      </c>
      <c r="Q33" s="135">
        <f t="shared" si="3"/>
        <v>252652.46890880633</v>
      </c>
      <c r="R33" s="137"/>
      <c r="S33" s="135">
        <f>'Porovnání s r-1 (částky a)'!S33</f>
        <v>95111779.4689088</v>
      </c>
      <c r="T33" s="135">
        <f>'Porovnání s r-1 (částky a)'!T33</f>
        <v>93792618</v>
      </c>
      <c r="U33" s="135">
        <f t="shared" si="4"/>
        <v>1319161.4689088017</v>
      </c>
      <c r="V33" s="127" t="s">
        <v>414</v>
      </c>
      <c r="W33" s="138" t="s">
        <v>415</v>
      </c>
      <c r="Y33" s="11"/>
    </row>
    <row r="34" spans="1:25" ht="12.75" customHeight="1">
      <c r="A34" s="13" t="s">
        <v>416</v>
      </c>
      <c r="B34" s="27" t="s">
        <v>417</v>
      </c>
      <c r="C34" s="48">
        <f>'Porovnání s r-1 (částky a)'!C34</f>
        <v>0</v>
      </c>
      <c r="D34" s="103">
        <f>'Porovnání s r-1 (částky a)'!D34</f>
        <v>0</v>
      </c>
      <c r="E34" s="48">
        <f t="shared" si="0"/>
        <v>0</v>
      </c>
      <c r="G34" s="105">
        <f>'Porovnání s r-1 (částky a)'!G34</f>
        <v>0</v>
      </c>
      <c r="H34" s="103">
        <f>'Porovnání s r-1 (částky a)'!H34</f>
        <v>0</v>
      </c>
      <c r="I34" s="561">
        <f t="shared" si="1"/>
        <v>0</v>
      </c>
      <c r="K34" s="107">
        <f>'Porovnání s r-1 (částky a)'!K34</f>
        <v>0</v>
      </c>
      <c r="L34" s="103">
        <f>'Porovnání s r-1 (částky a)'!L34</f>
        <v>0</v>
      </c>
      <c r="M34" s="564">
        <f t="shared" si="2"/>
        <v>0</v>
      </c>
      <c r="O34" s="109">
        <f>'Porovnání s r-1 (částky a)'!O34</f>
        <v>0</v>
      </c>
      <c r="P34" s="109">
        <f>'Porovnání s r-1 (částky a)'!P34</f>
        <v>0</v>
      </c>
      <c r="Q34" s="109">
        <f t="shared" si="3"/>
        <v>0</v>
      </c>
      <c r="R34" s="111"/>
      <c r="S34" s="109">
        <f>'Porovnání s r-1 (částky a)'!S34</f>
        <v>0</v>
      </c>
      <c r="T34" s="109">
        <f>'Porovnání s r-1 (částky a)'!T34</f>
        <v>0</v>
      </c>
      <c r="U34" s="109">
        <f t="shared" si="4"/>
        <v>0</v>
      </c>
      <c r="V34" s="13" t="s">
        <v>416</v>
      </c>
      <c r="W34" s="14" t="s">
        <v>417</v>
      </c>
      <c r="Y34" s="11"/>
    </row>
    <row r="35" spans="1:25" ht="12.75" customHeight="1">
      <c r="A35" s="13" t="s">
        <v>570</v>
      </c>
      <c r="B35" s="27" t="s">
        <v>571</v>
      </c>
      <c r="C35" s="48">
        <f>'Porovnání s r-1 (částky a)'!C35</f>
        <v>0</v>
      </c>
      <c r="D35" s="103">
        <f>'Porovnání s r-1 (částky a)'!D35</f>
        <v>0</v>
      </c>
      <c r="E35" s="48">
        <f t="shared" si="0"/>
        <v>0</v>
      </c>
      <c r="G35" s="105">
        <f>'Porovnání s r-1 (částky a)'!G35</f>
        <v>0</v>
      </c>
      <c r="H35" s="103">
        <f>'Porovnání s r-1 (částky a)'!H35</f>
        <v>0</v>
      </c>
      <c r="I35" s="561">
        <f t="shared" si="1"/>
        <v>0</v>
      </c>
      <c r="K35" s="107">
        <f>'Porovnání s r-1 (částky a)'!K35</f>
        <v>0</v>
      </c>
      <c r="L35" s="103">
        <f>'Porovnání s r-1 (částky a)'!L35</f>
        <v>0</v>
      </c>
      <c r="M35" s="564">
        <f t="shared" si="2"/>
        <v>0</v>
      </c>
      <c r="O35" s="109">
        <f>'Porovnání s r-1 (částky a)'!O35</f>
        <v>6699898.477116177</v>
      </c>
      <c r="P35" s="109">
        <f>'Porovnání s r-1 (částky a)'!P35</f>
        <v>6757895</v>
      </c>
      <c r="Q35" s="109">
        <f t="shared" si="3"/>
        <v>-57996.52288382314</v>
      </c>
      <c r="R35" s="111"/>
      <c r="S35" s="109">
        <f>'Porovnání s r-1 (částky a)'!S35</f>
        <v>6699898.477116177</v>
      </c>
      <c r="T35" s="109">
        <f>'Porovnání s r-1 (částky a)'!T35</f>
        <v>6757895</v>
      </c>
      <c r="U35" s="109">
        <f t="shared" si="4"/>
        <v>-57996.52288382314</v>
      </c>
      <c r="V35" s="13" t="s">
        <v>570</v>
      </c>
      <c r="W35" s="14" t="s">
        <v>571</v>
      </c>
      <c r="Y35" s="11"/>
    </row>
    <row r="36" spans="1:25" ht="12.75" customHeight="1">
      <c r="A36" s="13" t="s">
        <v>649</v>
      </c>
      <c r="B36" s="27" t="s">
        <v>410</v>
      </c>
      <c r="C36" s="48">
        <f>'Porovnání s r-1 (částky a)'!C36</f>
        <v>17940549</v>
      </c>
      <c r="D36" s="103">
        <f>'Porovnání s r-1 (částky a)'!D36</f>
        <v>17722731</v>
      </c>
      <c r="E36" s="48">
        <f t="shared" si="0"/>
        <v>217818</v>
      </c>
      <c r="G36" s="105">
        <f>'Porovnání s r-1 (částky a)'!G36</f>
        <v>13002507</v>
      </c>
      <c r="H36" s="103">
        <f>'Porovnání s r-1 (částky a)'!H36</f>
        <v>12065222.0003887</v>
      </c>
      <c r="I36" s="561">
        <f t="shared" si="1"/>
        <v>937284.9996112995</v>
      </c>
      <c r="K36" s="107">
        <f>'Porovnání s r-1 (částky a)'!K36</f>
        <v>0</v>
      </c>
      <c r="L36" s="103">
        <f>'Porovnání s r-1 (částky a)'!L36</f>
        <v>0</v>
      </c>
      <c r="M36" s="564">
        <f t="shared" si="2"/>
        <v>0</v>
      </c>
      <c r="O36" s="109">
        <f>'Porovnání s r-1 (částky a)'!O36</f>
        <v>69328.08932040716</v>
      </c>
      <c r="P36" s="109">
        <f>'Porovnání s r-1 (částky a)'!P36</f>
        <v>71560</v>
      </c>
      <c r="Q36" s="109">
        <f t="shared" si="3"/>
        <v>-2231.9106795928383</v>
      </c>
      <c r="R36" s="111"/>
      <c r="S36" s="109">
        <f>'Porovnání s r-1 (částky a)'!S36</f>
        <v>31012384.089320406</v>
      </c>
      <c r="T36" s="109">
        <f>'Porovnání s r-1 (částky a)'!T36</f>
        <v>29859513.0003887</v>
      </c>
      <c r="U36" s="109">
        <f t="shared" si="4"/>
        <v>1152871.0889317058</v>
      </c>
      <c r="V36" s="13" t="s">
        <v>649</v>
      </c>
      <c r="W36" s="14" t="s">
        <v>410</v>
      </c>
      <c r="Y36" s="11"/>
    </row>
    <row r="37" spans="1:25" ht="12.75" customHeight="1">
      <c r="A37" s="15" t="s">
        <v>434</v>
      </c>
      <c r="B37" s="27"/>
      <c r="C37" s="48">
        <f>C22+C24+C25+SUM(C33:C36)</f>
        <v>3357306090.45097</v>
      </c>
      <c r="D37" s="109">
        <f>D22+D24+D25+SUM(D33:D36)</f>
        <v>3316497359</v>
      </c>
      <c r="E37" s="48">
        <f t="shared" si="0"/>
        <v>40808731.45097017</v>
      </c>
      <c r="G37" s="105">
        <f>G22+G24+G25+SUM(G33:G36)</f>
        <v>1489580251</v>
      </c>
      <c r="H37" s="103">
        <f>H22+H24+H25+SUM(H33:H36)</f>
        <v>1382142751</v>
      </c>
      <c r="I37" s="561">
        <f t="shared" si="1"/>
        <v>107437500</v>
      </c>
      <c r="K37" s="107">
        <f>K22+K24+K25+SUM(K33:K36)</f>
        <v>122705706</v>
      </c>
      <c r="L37" s="103">
        <f>L22+L24+L25+SUM(L33:L36)</f>
        <v>115393312</v>
      </c>
      <c r="M37" s="564">
        <f t="shared" si="2"/>
        <v>7312394</v>
      </c>
      <c r="O37" s="109">
        <f>O22+O24+O25+SUM(O33:O36)</f>
        <v>176000000</v>
      </c>
      <c r="P37" s="109">
        <f>P22+P24+P25+SUM(P33:P36)</f>
        <v>150000000</v>
      </c>
      <c r="Q37" s="109">
        <f t="shared" si="3"/>
        <v>26000000</v>
      </c>
      <c r="R37" s="111"/>
      <c r="S37" s="109">
        <f>S22+S24+S25+SUM(S33:S36)</f>
        <v>5145592047.45097</v>
      </c>
      <c r="T37" s="109">
        <f>T22+T24+T25+SUM(T33:T36)</f>
        <v>4964033422</v>
      </c>
      <c r="U37" s="423">
        <f t="shared" si="4"/>
        <v>181558625.4509697</v>
      </c>
      <c r="V37" s="15" t="s">
        <v>434</v>
      </c>
      <c r="W37" s="14"/>
      <c r="Y37" s="11"/>
    </row>
    <row r="38" spans="3:19" ht="9.75" customHeight="1">
      <c r="C38" s="406">
        <f>Bilance!C80+Bilance!C69</f>
        <v>3357306090.45097</v>
      </c>
      <c r="G38" s="406">
        <f>'2 Podpora vědy'!C45+'4.6 RUK'!D37</f>
        <v>1489580251</v>
      </c>
      <c r="K38" s="406">
        <f>Bilance!C86</f>
        <v>122705706</v>
      </c>
      <c r="S38" s="406">
        <f>Bilance!C57+Bilance!C61+Bilance!C67+Bilance!C80+Bilance!C86+'2 Podpora vědy'!C45</f>
        <v>5145592047.45097</v>
      </c>
    </row>
    <row r="39" spans="3:19" ht="9.75" customHeight="1">
      <c r="C39" s="1105">
        <f>C38-C37</f>
        <v>0</v>
      </c>
      <c r="G39" s="7">
        <f>G38-G37</f>
        <v>0</v>
      </c>
      <c r="K39" s="22">
        <f>K38-K37</f>
        <v>0</v>
      </c>
      <c r="S39" s="22">
        <f>S38-S37</f>
        <v>0</v>
      </c>
    </row>
    <row r="40" ht="9.75" customHeight="1">
      <c r="S40" s="7"/>
    </row>
    <row r="43" ht="9.75" customHeight="1">
      <c r="S43" s="7"/>
    </row>
    <row r="44" ht="9.75" customHeight="1">
      <c r="E44" s="7"/>
    </row>
  </sheetData>
  <sheetProtection/>
  <mergeCells count="7">
    <mergeCell ref="V2:W3"/>
    <mergeCell ref="A2:B3"/>
    <mergeCell ref="C2:E2"/>
    <mergeCell ref="G2:I2"/>
    <mergeCell ref="K2:M2"/>
    <mergeCell ref="O2:Q2"/>
    <mergeCell ref="S2:U2"/>
  </mergeCells>
  <conditionalFormatting sqref="U4:U37">
    <cfRule type="cellIs" priority="2" dxfId="26" operator="lessThan" stopIfTrue="1">
      <formula>0</formula>
    </cfRule>
  </conditionalFormatting>
  <conditionalFormatting sqref="Q4:Q37 M4:M37 I4:I37 E4:E37">
    <cfRule type="cellIs" priority="1" dxfId="26" operator="lessThan" stopIfTrue="1">
      <formula>0</formula>
    </cfRule>
  </conditionalFormatting>
  <printOptions horizontalCentered="1"/>
  <pageMargins left="0" right="0" top="1.220472440944882" bottom="0.5118110236220472" header="0.5118110236220472" footer="0.2362204724409449"/>
  <pageSetup fitToHeight="1" fitToWidth="1" horizontalDpi="600" verticalDpi="600" orientation="landscape" paperSize="9" scale="66" r:id="rId3"/>
  <headerFooter alignWithMargins="0">
    <oddHeader>&amp;C&amp;16&amp;A</oddHeader>
    <oddFooter>&amp;C&amp;F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44"/>
  <sheetViews>
    <sheetView showZeros="0" workbookViewId="0" topLeftCell="A7">
      <selection activeCell="U25" sqref="U25"/>
    </sheetView>
  </sheetViews>
  <sheetFormatPr defaultColWidth="9.33203125" defaultRowHeight="9.75" customHeight="1"/>
  <cols>
    <col min="1" max="1" width="5.33203125" style="0" customWidth="1"/>
    <col min="2" max="2" width="17.33203125" style="0" customWidth="1"/>
    <col min="3" max="3" width="14.33203125" style="0" customWidth="1"/>
    <col min="4" max="4" width="12.83203125" style="0" customWidth="1"/>
    <col min="5" max="5" width="11.5" style="0" bestFit="1" customWidth="1"/>
    <col min="6" max="6" width="0.82421875" style="0" customWidth="1"/>
    <col min="7" max="7" width="14.33203125" style="0" customWidth="1"/>
    <col min="8" max="8" width="13.33203125" style="0" customWidth="1"/>
    <col min="9" max="9" width="10.16015625" style="0" bestFit="1" customWidth="1"/>
    <col min="10" max="10" width="0.82421875" style="0" customWidth="1"/>
    <col min="11" max="11" width="14.66015625" style="0" customWidth="1"/>
    <col min="12" max="12" width="12.66015625" style="0" customWidth="1"/>
    <col min="13" max="13" width="11.83203125" style="0" bestFit="1" customWidth="1"/>
    <col min="14" max="14" width="0.82421875" style="0" customWidth="1"/>
    <col min="15" max="16" width="12.66015625" style="0" customWidth="1"/>
    <col min="17" max="17" width="9.83203125" style="0" bestFit="1" customWidth="1"/>
    <col min="18" max="18" width="0.65625" style="0" customWidth="1"/>
    <col min="19" max="19" width="12.83203125" style="0" customWidth="1"/>
    <col min="20" max="20" width="14.33203125" style="0" customWidth="1"/>
    <col min="21" max="21" width="11.16015625" style="0" bestFit="1" customWidth="1"/>
    <col min="22" max="22" width="5.5" style="0" customWidth="1"/>
    <col min="23" max="23" width="17.16015625" style="0" customWidth="1"/>
    <col min="26" max="26" width="18.5" style="0" customWidth="1"/>
    <col min="27" max="27" width="11.5" style="0" customWidth="1"/>
  </cols>
  <sheetData>
    <row r="2" spans="1:23" ht="79.5" customHeight="1">
      <c r="A2" s="1252" t="s">
        <v>732</v>
      </c>
      <c r="B2" s="1253"/>
      <c r="C2" s="1247" t="s">
        <v>602</v>
      </c>
      <c r="D2" s="1256"/>
      <c r="E2" s="1256"/>
      <c r="G2" s="1257" t="s">
        <v>439</v>
      </c>
      <c r="H2" s="1257"/>
      <c r="I2" s="1257"/>
      <c r="K2" s="1258" t="s">
        <v>440</v>
      </c>
      <c r="L2" s="1258"/>
      <c r="M2" s="1258"/>
      <c r="O2" s="1259" t="s">
        <v>1302</v>
      </c>
      <c r="P2" s="1259"/>
      <c r="Q2" s="1259"/>
      <c r="R2" s="96"/>
      <c r="S2" s="1259" t="s">
        <v>5</v>
      </c>
      <c r="T2" s="1259"/>
      <c r="U2" s="1259"/>
      <c r="V2" s="1252" t="s">
        <v>732</v>
      </c>
      <c r="W2" s="1253"/>
    </row>
    <row r="3" spans="1:23" ht="12.75" customHeight="1">
      <c r="A3" s="1254"/>
      <c r="B3" s="1255"/>
      <c r="C3" s="865">
        <v>2020</v>
      </c>
      <c r="D3" s="98">
        <v>2019</v>
      </c>
      <c r="E3" s="97" t="s">
        <v>441</v>
      </c>
      <c r="F3" s="99"/>
      <c r="G3" s="100">
        <f>C3</f>
        <v>2020</v>
      </c>
      <c r="H3" s="98">
        <f>D3</f>
        <v>2019</v>
      </c>
      <c r="I3" s="560" t="s">
        <v>441</v>
      </c>
      <c r="J3" s="99"/>
      <c r="K3" s="101">
        <f>C3</f>
        <v>2020</v>
      </c>
      <c r="L3" s="98">
        <f>D3</f>
        <v>2019</v>
      </c>
      <c r="M3" s="563" t="s">
        <v>441</v>
      </c>
      <c r="N3" s="99"/>
      <c r="O3" s="98">
        <f>C3</f>
        <v>2020</v>
      </c>
      <c r="P3" s="98">
        <f>D3</f>
        <v>2019</v>
      </c>
      <c r="Q3" s="98" t="s">
        <v>441</v>
      </c>
      <c r="R3" s="102"/>
      <c r="S3" s="98">
        <f>G3</f>
        <v>2020</v>
      </c>
      <c r="T3" s="98">
        <f>H3</f>
        <v>2019</v>
      </c>
      <c r="U3" s="98" t="s">
        <v>441</v>
      </c>
      <c r="V3" s="1254"/>
      <c r="W3" s="1255"/>
    </row>
    <row r="4" spans="1:25" ht="12.75" customHeight="1">
      <c r="A4" s="127" t="s">
        <v>376</v>
      </c>
      <c r="B4" s="128" t="s">
        <v>371</v>
      </c>
      <c r="C4" s="139">
        <f>'Porovnání s r-1 (částky a)'!C4/'Porovnání s r-1 (částky a)'!C$37</f>
        <v>0.00857485652101573</v>
      </c>
      <c r="D4" s="17">
        <f>'Porovnání s r-1 (částky a)'!D4/'Porovnání s r-1 (částky a)'!D$37</f>
        <v>0.008658962722243495</v>
      </c>
      <c r="E4" s="104">
        <f aca="true" t="shared" si="0" ref="E4:E22">IF(D4=0,0,C4/D4)</f>
        <v>0.9902868040981733</v>
      </c>
      <c r="F4" s="19"/>
      <c r="G4" s="140">
        <f>'Porovnání s r-1 (částky a)'!G4/'Porovnání s r-1 (částky a)'!G$37</f>
        <v>0.004850804107498871</v>
      </c>
      <c r="H4" s="17">
        <f>'Porovnání s r-1 (částky a)'!H4/'Porovnání s r-1 (částky a)'!H$37</f>
        <v>0.004850784041770806</v>
      </c>
      <c r="I4" s="106">
        <f aca="true" t="shared" si="1" ref="I4:I22">IF(H4=0,0,G4/H4)</f>
        <v>1.0000041365948045</v>
      </c>
      <c r="J4" s="19"/>
      <c r="K4" s="141">
        <f>'Porovnání s r-1 (částky a)'!K4/'Porovnání s r-1 (částky a)'!K$37</f>
        <v>0.0071308827317288735</v>
      </c>
      <c r="L4" s="17">
        <f>'Porovnání s r-1 (částky a)'!L4/'Porovnání s r-1 (částky a)'!L$37</f>
        <v>0.0074094415454510915</v>
      </c>
      <c r="M4" s="108">
        <f aca="true" t="shared" si="2" ref="M4:M22">IF(L4=0,0,K4/L4)</f>
        <v>0.9624048840909968</v>
      </c>
      <c r="N4" s="19"/>
      <c r="O4" s="17">
        <f>'Porovnání s r-1 (částky a)'!O4/'Porovnání s r-1 (částky a)'!O$37</f>
        <v>0.00223086710472864</v>
      </c>
      <c r="P4" s="17">
        <f>'Porovnání s r-1 (částky a)'!P4/'Porovnání s r-1 (částky a)'!P$37</f>
        <v>0.0027018066666666665</v>
      </c>
      <c r="Q4" s="110">
        <f aca="true" t="shared" si="3" ref="Q4:Q22">IF(P4=0,0,O4/P4)</f>
        <v>0.8256945740240382</v>
      </c>
      <c r="R4" s="19"/>
      <c r="S4" s="17">
        <f>'Porovnání s r-1 (částky a)'!S4/'Porovnání s r-1 (částky a)'!S$37</f>
        <v>0.007245368907869449</v>
      </c>
      <c r="T4" s="17">
        <f>'Porovnání s r-1 (částky a)'!T4/'Porovnání s r-1 (částky a)'!T$37</f>
        <v>0.007389590456306964</v>
      </c>
      <c r="U4" s="110">
        <f aca="true" t="shared" si="4" ref="U4:U22">IF(T4=0,0,S4/T4)</f>
        <v>0.9804831473015635</v>
      </c>
      <c r="V4" s="13" t="s">
        <v>376</v>
      </c>
      <c r="W4" s="14" t="s">
        <v>371</v>
      </c>
      <c r="Y4" s="11"/>
    </row>
    <row r="5" spans="1:25" ht="12.75" customHeight="1">
      <c r="A5" s="13" t="s">
        <v>377</v>
      </c>
      <c r="B5" s="27" t="s">
        <v>68</v>
      </c>
      <c r="C5" s="139">
        <f>'Porovnání s r-1 (částky a)'!C5/'Porovnání s r-1 (částky a)'!C$37</f>
        <v>0.00677925776939993</v>
      </c>
      <c r="D5" s="17">
        <f>'Porovnání s r-1 (částky a)'!D5/'Porovnání s r-1 (částky a)'!D$37</f>
        <v>0.007579261576007786</v>
      </c>
      <c r="E5" s="104">
        <f t="shared" si="0"/>
        <v>0.8944483181395567</v>
      </c>
      <c r="F5" s="19"/>
      <c r="G5" s="140">
        <f>'Porovnání s r-1 (částky a)'!G5/'Porovnání s r-1 (částky a)'!G$37</f>
        <v>0.004626011250735896</v>
      </c>
      <c r="H5" s="17">
        <f>'Porovnání s r-1 (částky a)'!H5/'Porovnání s r-1 (částky a)'!H$37</f>
        <v>0.004625991776445674</v>
      </c>
      <c r="I5" s="106">
        <f t="shared" si="1"/>
        <v>1.0000042097546133</v>
      </c>
      <c r="J5" s="19"/>
      <c r="K5" s="141">
        <f>'Porovnání s r-1 (částky a)'!K5/'Porovnání s r-1 (částky a)'!K$37</f>
        <v>0.010305144244881326</v>
      </c>
      <c r="L5" s="17">
        <f>'Porovnání s r-1 (částky a)'!L5/'Porovnání s r-1 (částky a)'!L$37</f>
        <v>0.0062568617494920325</v>
      </c>
      <c r="M5" s="108">
        <f t="shared" si="2"/>
        <v>1.647014854646254</v>
      </c>
      <c r="N5" s="19"/>
      <c r="O5" s="17">
        <f>'Porovnání s r-1 (částky a)'!O5/'Porovnání s r-1 (částky a)'!O$37</f>
        <v>0.004296123648048621</v>
      </c>
      <c r="P5" s="17">
        <f>'Porovnání s r-1 (částky a)'!P5/'Porovnání s r-1 (částky a)'!P$37</f>
        <v>0.004924926666666667</v>
      </c>
      <c r="Q5" s="110">
        <f t="shared" si="3"/>
        <v>0.872322359056843</v>
      </c>
      <c r="R5" s="19"/>
      <c r="S5" s="17">
        <f>'Porovnání s r-1 (částky a)'!S5/'Porovnání s r-1 (částky a)'!S$37</f>
        <v>0.006155069400748444</v>
      </c>
      <c r="T5" s="17">
        <f>'Porovnání s r-1 (částky a)'!T5/'Porovnání s r-1 (částky a)'!T$37</f>
        <v>0.006646031199908388</v>
      </c>
      <c r="U5" s="110">
        <f t="shared" si="4"/>
        <v>0.9261270697665832</v>
      </c>
      <c r="V5" s="13" t="s">
        <v>377</v>
      </c>
      <c r="W5" s="14" t="s">
        <v>68</v>
      </c>
      <c r="Y5" s="11"/>
    </row>
    <row r="6" spans="1:25" ht="12.75" customHeight="1">
      <c r="A6" s="13" t="s">
        <v>378</v>
      </c>
      <c r="B6" s="27" t="s">
        <v>372</v>
      </c>
      <c r="C6" s="139">
        <f>'Porovnání s r-1 (částky a)'!C6/'Porovnání s r-1 (částky a)'!C$37</f>
        <v>0.01057209059296385</v>
      </c>
      <c r="D6" s="17">
        <f>'Porovnání s r-1 (částky a)'!D6/'Porovnání s r-1 (částky a)'!D$37</f>
        <v>0.010656158945549759</v>
      </c>
      <c r="E6" s="104">
        <f t="shared" si="0"/>
        <v>0.9921108203232067</v>
      </c>
      <c r="F6" s="19"/>
      <c r="G6" s="140">
        <f>'Porovnání s r-1 (částky a)'!G6/'Porovnání s r-1 (částky a)'!G$37</f>
        <v>0.002651070996241343</v>
      </c>
      <c r="H6" s="17">
        <f>'Porovnání s r-1 (částky a)'!H6/'Porovnání s r-1 (částky a)'!H$37</f>
        <v>0.0026510597384741485</v>
      </c>
      <c r="I6" s="106">
        <f t="shared" si="1"/>
        <v>1.0000042465158485</v>
      </c>
      <c r="J6" s="19"/>
      <c r="K6" s="141">
        <f>'Porovnání s r-1 (částky a)'!K6/'Porovnání s r-1 (částky a)'!K$37</f>
        <v>0.0056558087037941</v>
      </c>
      <c r="L6" s="17">
        <f>'Porovnání s r-1 (částky a)'!L6/'Porovnání s r-1 (částky a)'!L$37</f>
        <v>0.004333006751725784</v>
      </c>
      <c r="M6" s="108">
        <f t="shared" si="2"/>
        <v>1.3052849967384565</v>
      </c>
      <c r="N6" s="19"/>
      <c r="O6" s="17">
        <f>'Porovnání s r-1 (částky a)'!O6/'Porovnání s r-1 (částky a)'!O$37</f>
        <v>0.0042970470663070085</v>
      </c>
      <c r="P6" s="17">
        <f>'Porovnání s r-1 (částky a)'!P6/'Porovnání s r-1 (částky a)'!P$37</f>
        <v>0.0051827466666666665</v>
      </c>
      <c r="Q6" s="110">
        <f t="shared" si="3"/>
        <v>0.8291061367023551</v>
      </c>
      <c r="R6" s="19"/>
      <c r="S6" s="17">
        <f>'Porovnání s r-1 (částky a)'!S6/'Porovnání s r-1 (částky a)'!S$37</f>
        <v>0.007947191896117105</v>
      </c>
      <c r="T6" s="17">
        <f>'Porovnání s r-1 (částky a)'!T6/'Porovnání s r-1 (částky a)'!T$37</f>
        <v>0.008114908699339535</v>
      </c>
      <c r="U6" s="110">
        <f t="shared" si="4"/>
        <v>0.9793322624521851</v>
      </c>
      <c r="V6" s="13" t="s">
        <v>378</v>
      </c>
      <c r="W6" s="14" t="s">
        <v>372</v>
      </c>
      <c r="Y6" s="11"/>
    </row>
    <row r="7" spans="1:25" ht="12.75" customHeight="1">
      <c r="A7" s="13" t="s">
        <v>379</v>
      </c>
      <c r="B7" s="27" t="s">
        <v>42</v>
      </c>
      <c r="C7" s="139">
        <f>'Porovnání s r-1 (částky a)'!C7/'Porovnání s r-1 (částky a)'!C$37</f>
        <v>0.04635933880074576</v>
      </c>
      <c r="D7" s="17">
        <f>'Porovnání s r-1 (částky a)'!D7/'Porovnání s r-1 (částky a)'!D$37</f>
        <v>0.046869548856468726</v>
      </c>
      <c r="E7" s="104">
        <f t="shared" si="0"/>
        <v>0.9891142528961521</v>
      </c>
      <c r="F7" s="19"/>
      <c r="G7" s="140">
        <f>'Porovnání s r-1 (částky a)'!G7/'Porovnání s r-1 (částky a)'!G$37</f>
        <v>0.018413336227831072</v>
      </c>
      <c r="H7" s="17">
        <f>'Porovnání s r-1 (částky a)'!H7/'Porovnání s r-1 (částky a)'!H$37</f>
        <v>0.018413260122072585</v>
      </c>
      <c r="I7" s="106">
        <f t="shared" si="1"/>
        <v>1.0000041332038967</v>
      </c>
      <c r="J7" s="19"/>
      <c r="K7" s="141">
        <f>'Porovnání s r-1 (částky a)'!K7/'Porovnání s r-1 (částky a)'!K$37</f>
        <v>0.034024497605677766</v>
      </c>
      <c r="L7" s="17">
        <f>'Porovnání s r-1 (částky a)'!L7/'Porovnání s r-1 (částky a)'!L$37</f>
        <v>0.036145942322896495</v>
      </c>
      <c r="M7" s="108">
        <f t="shared" si="2"/>
        <v>0.9413089110177961</v>
      </c>
      <c r="N7" s="19"/>
      <c r="O7" s="17">
        <f>'Porovnání s r-1 (částky a)'!O7/'Porovnání s r-1 (částky a)'!O$37</f>
        <v>0.02114886539790591</v>
      </c>
      <c r="P7" s="17">
        <f>'Porovnání s r-1 (částky a)'!P7/'Porovnání s r-1 (částky a)'!P$37</f>
        <v>0.024715706666666667</v>
      </c>
      <c r="Q7" s="110">
        <f t="shared" si="3"/>
        <v>0.8556852402860384</v>
      </c>
      <c r="R7" s="19"/>
      <c r="S7" s="17">
        <f>'Porovnání s r-1 (částky a)'!S7/'Porovnání s r-1 (částky a)'!S$37</f>
        <v>0.03711289800163172</v>
      </c>
      <c r="T7" s="17">
        <f>'Porovnání s r-1 (částky a)'!T7/'Porovnání s r-1 (částky a)'!T$37</f>
        <v>0.038027714350872474</v>
      </c>
      <c r="U7" s="110">
        <f t="shared" si="4"/>
        <v>0.9759434306043228</v>
      </c>
      <c r="V7" s="13" t="s">
        <v>379</v>
      </c>
      <c r="W7" s="14" t="s">
        <v>42</v>
      </c>
      <c r="Y7" s="11"/>
    </row>
    <row r="8" spans="1:25" ht="12.75" customHeight="1">
      <c r="A8" s="13" t="s">
        <v>380</v>
      </c>
      <c r="B8" s="27" t="s">
        <v>8</v>
      </c>
      <c r="C8" s="139">
        <f>'Porovnání s r-1 (částky a)'!C8/'Porovnání s r-1 (částky a)'!C$37</f>
        <v>0.1282271157432878</v>
      </c>
      <c r="D8" s="17">
        <f>'Porovnání s r-1 (částky a)'!D8/'Porovnání s r-1 (částky a)'!D$37</f>
        <v>0.12818602066614823</v>
      </c>
      <c r="E8" s="104">
        <f t="shared" si="0"/>
        <v>1.0003205893819467</v>
      </c>
      <c r="F8" s="19"/>
      <c r="G8" s="140">
        <f>'Porovnání s r-1 (částky a)'!G8/'Porovnání s r-1 (částky a)'!G$37</f>
        <v>0.09129492480093307</v>
      </c>
      <c r="H8" s="17">
        <f>'Porovnání s r-1 (částky a)'!H8/'Porovnání s r-1 (částky a)'!H$37</f>
        <v>0.09129454602913155</v>
      </c>
      <c r="I8" s="106">
        <f t="shared" si="1"/>
        <v>1.000004148898461</v>
      </c>
      <c r="J8" s="19"/>
      <c r="K8" s="141">
        <f>'Porovnání s r-1 (částky a)'!K8/'Porovnání s r-1 (částky a)'!K$37</f>
        <v>0.12631034452464665</v>
      </c>
      <c r="L8" s="17">
        <f>'Porovnání s r-1 (částky a)'!L8/'Porovnání s r-1 (částky a)'!L$37</f>
        <v>0.11216421277517366</v>
      </c>
      <c r="M8" s="108">
        <f t="shared" si="2"/>
        <v>1.1261198326941237</v>
      </c>
      <c r="N8" s="19"/>
      <c r="O8" s="17">
        <f>'Porovnání s r-1 (částky a)'!O8/'Porovnání s r-1 (částky a)'!O$37</f>
        <v>0.11469502728136595</v>
      </c>
      <c r="P8" s="17">
        <f>'Porovnání s r-1 (částky a)'!P8/'Porovnání s r-1 (částky a)'!P$37</f>
        <v>0.12844711333333333</v>
      </c>
      <c r="Q8" s="110">
        <f t="shared" si="3"/>
        <v>0.8929358107388577</v>
      </c>
      <c r="R8" s="19"/>
      <c r="S8" s="17">
        <f>'Porovnání s r-1 (částky a)'!S8/'Porovnání s r-1 (částky a)'!S$37</f>
        <v>0.11702717838770911</v>
      </c>
      <c r="T8" s="17">
        <f>'Porovnání s r-1 (částky a)'!T8/'Porovnání s r-1 (částky a)'!T$37</f>
        <v>0.1175497244667826</v>
      </c>
      <c r="U8" s="110">
        <f t="shared" si="4"/>
        <v>0.995554680528229</v>
      </c>
      <c r="V8" s="13" t="s">
        <v>380</v>
      </c>
      <c r="W8" s="14" t="s">
        <v>8</v>
      </c>
      <c r="Y8" s="11"/>
    </row>
    <row r="9" spans="1:25" ht="12.75" customHeight="1">
      <c r="A9" s="13" t="s">
        <v>381</v>
      </c>
      <c r="B9" s="27" t="s">
        <v>22</v>
      </c>
      <c r="C9" s="139">
        <f>'Porovnání s r-1 (částky a)'!C9/'Porovnání s r-1 (částky a)'!C$37</f>
        <v>0.04720418607432157</v>
      </c>
      <c r="D9" s="17">
        <f>'Porovnání s r-1 (částky a)'!D9/'Porovnání s r-1 (částky a)'!D$37</f>
        <v>0.04704259196124992</v>
      </c>
      <c r="E9" s="104">
        <f t="shared" si="0"/>
        <v>1.003435059726402</v>
      </c>
      <c r="F9" s="19"/>
      <c r="G9" s="140">
        <f>'Porovnání s r-1 (částky a)'!G9/'Porovnání s r-1 (částky a)'!G$37</f>
        <v>0.03993008161867742</v>
      </c>
      <c r="H9" s="17">
        <f>'Porovnání s r-1 (částky a)'!H9/'Porovnání s r-1 (částky a)'!H$37</f>
        <v>0.039929916038028694</v>
      </c>
      <c r="I9" s="106">
        <f t="shared" si="1"/>
        <v>1.0000041467817906</v>
      </c>
      <c r="J9" s="19"/>
      <c r="K9" s="141">
        <f>'Porovnání s r-1 (částky a)'!K9/'Porovnání s r-1 (částky a)'!K$37</f>
        <v>0.05945933761222155</v>
      </c>
      <c r="L9" s="17">
        <f>'Porovnání s r-1 (částky a)'!L9/'Porovnání s r-1 (částky a)'!L$37</f>
        <v>0.048590337713852946</v>
      </c>
      <c r="M9" s="108">
        <f t="shared" si="2"/>
        <v>1.223686444872555</v>
      </c>
      <c r="N9" s="19"/>
      <c r="O9" s="17">
        <f>'Porovnání s r-1 (částky a)'!O9/'Porovnání s r-1 (částky a)'!O$37</f>
        <v>0.014014639468581558</v>
      </c>
      <c r="P9" s="17">
        <f>'Porovnání s r-1 (částky a)'!P9/'Porovnání s r-1 (částky a)'!P$37</f>
        <v>0.010504973333333334</v>
      </c>
      <c r="Q9" s="110">
        <f t="shared" si="3"/>
        <v>1.3340956729620341</v>
      </c>
      <c r="R9" s="19"/>
      <c r="S9" s="17">
        <f>'Porovnání s r-1 (částky a)'!S9/'Porovnání s r-1 (částky a)'!S$37</f>
        <v>0.04425545920636665</v>
      </c>
      <c r="T9" s="17">
        <f>'Porovnání s r-1 (částky a)'!T9/'Porovnání s r-1 (částky a)'!T$37</f>
        <v>0.043994107902684466</v>
      </c>
      <c r="U9" s="110">
        <f t="shared" si="4"/>
        <v>1.0059405978696123</v>
      </c>
      <c r="V9" s="13" t="s">
        <v>381</v>
      </c>
      <c r="W9" s="14" t="s">
        <v>22</v>
      </c>
      <c r="Y9" s="11"/>
    </row>
    <row r="10" spans="1:25" ht="12.75" customHeight="1">
      <c r="A10" s="13" t="s">
        <v>382</v>
      </c>
      <c r="B10" s="27" t="s">
        <v>21</v>
      </c>
      <c r="C10" s="139">
        <f>'Porovnání s r-1 (částky a)'!C10/'Porovnání s r-1 (částky a)'!C$37</f>
        <v>0.052449317651771105</v>
      </c>
      <c r="D10" s="17">
        <f>'Porovnání s r-1 (částky a)'!D10/'Porovnání s r-1 (částky a)'!D$37</f>
        <v>0.05221634099302173</v>
      </c>
      <c r="E10" s="104">
        <f t="shared" si="0"/>
        <v>1.0044617576474866</v>
      </c>
      <c r="F10" s="19"/>
      <c r="G10" s="140">
        <f>'Porovnání s r-1 (částky a)'!G10/'Porovnání s r-1 (částky a)'!G$37</f>
        <v>0.04441975647540993</v>
      </c>
      <c r="H10" s="17">
        <f>'Porovnání s r-1 (částky a)'!H10/'Porovnání s r-1 (částky a)'!H$37</f>
        <v>0.044419572403487574</v>
      </c>
      <c r="I10" s="106">
        <f t="shared" si="1"/>
        <v>1.000004143937287</v>
      </c>
      <c r="J10" s="19"/>
      <c r="K10" s="141">
        <f>'Porovnání s r-1 (částky a)'!K10/'Porovnání s r-1 (částky a)'!K$37</f>
        <v>0.04897897739164632</v>
      </c>
      <c r="L10" s="17">
        <f>'Porovnání s r-1 (částky a)'!L10/'Porovnání s r-1 (částky a)'!L$37</f>
        <v>0.04725577163432141</v>
      </c>
      <c r="M10" s="108">
        <f t="shared" si="2"/>
        <v>1.0364655088199504</v>
      </c>
      <c r="N10" s="19"/>
      <c r="O10" s="17">
        <f>'Porovnání s r-1 (částky a)'!O10/'Porovnání s r-1 (částky a)'!O$37</f>
        <v>0.011844832238444179</v>
      </c>
      <c r="P10" s="17">
        <f>'Porovnání s r-1 (částky a)'!P10/'Porovnání s r-1 (částky a)'!P$37</f>
        <v>0.013490633333333333</v>
      </c>
      <c r="Q10" s="110">
        <f t="shared" si="3"/>
        <v>0.878004163761339</v>
      </c>
      <c r="R10" s="19"/>
      <c r="S10" s="17">
        <f>'Porovnání s r-1 (částky a)'!S10/'Porovnání s r-1 (částky a)'!S$37</f>
        <v>0.048653273278878285</v>
      </c>
      <c r="T10" s="17">
        <f>'Porovnání s r-1 (částky a)'!T10/'Porovnání s r-1 (částky a)'!T$37</f>
        <v>0.04875997428367033</v>
      </c>
      <c r="U10" s="110">
        <f t="shared" si="4"/>
        <v>0.9978117091659793</v>
      </c>
      <c r="V10" s="13" t="s">
        <v>382</v>
      </c>
      <c r="W10" s="14" t="s">
        <v>21</v>
      </c>
      <c r="Y10" s="11"/>
    </row>
    <row r="11" spans="1:25" ht="12.75" customHeight="1">
      <c r="A11" s="13" t="s">
        <v>383</v>
      </c>
      <c r="B11" s="27" t="s">
        <v>23</v>
      </c>
      <c r="C11" s="139">
        <f>'Porovnání s r-1 (částky a)'!C11/'Porovnání s r-1 (částky a)'!C$37</f>
        <v>0.053007751793344396</v>
      </c>
      <c r="D11" s="17">
        <f>'Porovnání s r-1 (částky a)'!D11/'Porovnání s r-1 (částky a)'!D$37</f>
        <v>0.053037710258583684</v>
      </c>
      <c r="E11" s="104">
        <f t="shared" si="0"/>
        <v>0.9994351478392783</v>
      </c>
      <c r="F11" s="19"/>
      <c r="G11" s="140">
        <f>'Porovnání s r-1 (částky a)'!G11/'Porovnání s r-1 (částky a)'!G$37</f>
        <v>0.02100124245001151</v>
      </c>
      <c r="H11" s="17">
        <f>'Porovnání s r-1 (částky a)'!H11/'Porovnání s r-1 (částky a)'!H$37</f>
        <v>0.021001155617969884</v>
      </c>
      <c r="I11" s="106">
        <f t="shared" si="1"/>
        <v>1.0000041346315987</v>
      </c>
      <c r="J11" s="19"/>
      <c r="K11" s="141">
        <f>'Porovnání s r-1 (částky a)'!K11/'Porovnání s r-1 (částky a)'!K$37</f>
        <v>0.03258202189880233</v>
      </c>
      <c r="L11" s="17">
        <f>'Porovnání s r-1 (částky a)'!L11/'Porovnání s r-1 (částky a)'!L$37</f>
        <v>0.030027736789459688</v>
      </c>
      <c r="M11" s="108">
        <f t="shared" si="2"/>
        <v>1.0850641900604125</v>
      </c>
      <c r="N11" s="19"/>
      <c r="O11" s="17">
        <f>'Porovnání s r-1 (částky a)'!O11/'Porovnání s r-1 (částky a)'!O$37</f>
        <v>0.12011732598124733</v>
      </c>
      <c r="P11" s="17">
        <f>'Porovnání s r-1 (částky a)'!P11/'Porovnání s r-1 (částky a)'!P$37</f>
        <v>0.056449853333333334</v>
      </c>
      <c r="Q11" s="110">
        <f t="shared" si="3"/>
        <v>2.1278589560182026</v>
      </c>
      <c r="R11" s="19"/>
      <c r="S11" s="17">
        <f>'Porovnání s r-1 (částky a)'!S11/'Porovnání s r-1 (částky a)'!S$37</f>
        <v>0.04555062491316581</v>
      </c>
      <c r="T11" s="17">
        <f>'Porovnání s r-1 (částky a)'!T11/'Porovnání s r-1 (částky a)'!T$37</f>
        <v>0.04368594660118709</v>
      </c>
      <c r="U11" s="110">
        <f t="shared" si="4"/>
        <v>1.042683710828142</v>
      </c>
      <c r="V11" s="13" t="s">
        <v>383</v>
      </c>
      <c r="W11" s="14" t="s">
        <v>23</v>
      </c>
      <c r="Y11" s="11"/>
    </row>
    <row r="12" spans="1:25" ht="12.75" customHeight="1">
      <c r="A12" s="13" t="s">
        <v>384</v>
      </c>
      <c r="B12" s="27" t="s">
        <v>24</v>
      </c>
      <c r="C12" s="139">
        <f>'Porovnání s r-1 (částky a)'!C12/'Porovnání s r-1 (částky a)'!C$37</f>
        <v>0.04562458075012063</v>
      </c>
      <c r="D12" s="17">
        <f>'Porovnání s r-1 (částky a)'!D12/'Porovnání s r-1 (částky a)'!D$37</f>
        <v>0.04569311433002109</v>
      </c>
      <c r="E12" s="104">
        <f t="shared" si="0"/>
        <v>0.9985001333153729</v>
      </c>
      <c r="F12" s="19"/>
      <c r="G12" s="140">
        <f>'Porovnání s r-1 (částky a)'!G12/'Porovnání s r-1 (částky a)'!G$37</f>
        <v>0.026129274319977542</v>
      </c>
      <c r="H12" s="17">
        <f>'Porovnání s r-1 (částky a)'!H12/'Porovnání s r-1 (částky a)'!H$37</f>
        <v>0.026129165727542134</v>
      </c>
      <c r="I12" s="106">
        <f t="shared" si="1"/>
        <v>1.0000041559855581</v>
      </c>
      <c r="J12" s="19"/>
      <c r="K12" s="141">
        <f>'Porovnání s r-1 (částky a)'!K12/'Porovnání s r-1 (částky a)'!K$37</f>
        <v>0.03336438160422629</v>
      </c>
      <c r="L12" s="17">
        <f>'Porovnání s r-1 (částky a)'!L12/'Porovnání s r-1 (částky a)'!L$37</f>
        <v>0.03225490225984674</v>
      </c>
      <c r="M12" s="108">
        <f t="shared" si="2"/>
        <v>1.0343972316344827</v>
      </c>
      <c r="N12" s="19"/>
      <c r="O12" s="17">
        <f>'Porovnání s r-1 (částky a)'!O12/'Porovnání s r-1 (částky a)'!O$37</f>
        <v>0.0408613461339772</v>
      </c>
      <c r="P12" s="17">
        <f>'Porovnání s r-1 (částky a)'!P12/'Porovnání s r-1 (částky a)'!P$37</f>
        <v>0.03548966</v>
      </c>
      <c r="Q12" s="110">
        <f t="shared" si="3"/>
        <v>1.1513591883939491</v>
      </c>
      <c r="R12" s="19"/>
      <c r="S12" s="17">
        <f>'Porovnání s r-1 (částky a)'!S12/'Porovnání s r-1 (částky a)'!S$37</f>
        <v>0.03952566174517939</v>
      </c>
      <c r="T12" s="17">
        <f>'Porovnání s r-1 (částky a)'!T12/'Porovnání s r-1 (částky a)'!T$37</f>
        <v>0.03962519231402548</v>
      </c>
      <c r="U12" s="110">
        <f t="shared" si="4"/>
        <v>0.9974881997276549</v>
      </c>
      <c r="V12" s="13" t="s">
        <v>384</v>
      </c>
      <c r="W12" s="14" t="s">
        <v>24</v>
      </c>
      <c r="Y12" s="11"/>
    </row>
    <row r="13" spans="1:25" ht="12.75" customHeight="1">
      <c r="A13" s="13" t="s">
        <v>385</v>
      </c>
      <c r="B13" s="27" t="s">
        <v>31</v>
      </c>
      <c r="C13" s="139">
        <f>'Porovnání s r-1 (částky a)'!C13/'Porovnání s r-1 (částky a)'!C$37</f>
        <v>0.03954614702826555</v>
      </c>
      <c r="D13" s="17">
        <f>'Porovnání s r-1 (částky a)'!D13/'Porovnání s r-1 (částky a)'!D$37</f>
        <v>0.039492029940736036</v>
      </c>
      <c r="E13" s="104">
        <f t="shared" si="0"/>
        <v>1.0013703293452054</v>
      </c>
      <c r="F13" s="19"/>
      <c r="G13" s="140">
        <f>'Porovnání s r-1 (částky a)'!G13/'Porovnání s r-1 (částky a)'!G$37</f>
        <v>0.03833407697347352</v>
      </c>
      <c r="H13" s="17">
        <f>'Porovnání s r-1 (částky a)'!H13/'Porovnání s r-1 (částky a)'!H$37</f>
        <v>0.03833391808600529</v>
      </c>
      <c r="I13" s="106">
        <f t="shared" si="1"/>
        <v>1.0000041448272488</v>
      </c>
      <c r="J13" s="19"/>
      <c r="K13" s="141">
        <f>'Porovnání s r-1 (částky a)'!K13/'Porovnání s r-1 (částky a)'!K$37</f>
        <v>0.03863051812765741</v>
      </c>
      <c r="L13" s="17">
        <f>'Porovnání s r-1 (částky a)'!L13/'Porovnání s r-1 (částky a)'!L$37</f>
        <v>0.04118956218190531</v>
      </c>
      <c r="M13" s="108">
        <f t="shared" si="2"/>
        <v>0.937871540295903</v>
      </c>
      <c r="N13" s="19"/>
      <c r="O13" s="17">
        <f>'Porovnání s r-1 (částky a)'!O13/'Porovnání s r-1 (částky a)'!O$37</f>
        <v>0.04204734509958251</v>
      </c>
      <c r="P13" s="17">
        <f>'Porovnání s r-1 (částky a)'!P13/'Porovnání s r-1 (částky a)'!P$37</f>
        <v>0.03582705333333333</v>
      </c>
      <c r="Q13" s="110">
        <f t="shared" si="3"/>
        <v>1.1736199655711526</v>
      </c>
      <c r="R13" s="19"/>
      <c r="S13" s="17">
        <f>'Porovnání s r-1 (částky a)'!S13/'Porovnání s r-1 (částky a)'!S$37</f>
        <v>0.03925898519480656</v>
      </c>
      <c r="T13" s="17">
        <f>'Porovnání s r-1 (částky a)'!T13/'Porovnání s r-1 (částky a)'!T$37</f>
        <v>0.03909828993895118</v>
      </c>
      <c r="U13" s="110">
        <f t="shared" si="4"/>
        <v>1.0041100328455872</v>
      </c>
      <c r="V13" s="13" t="s">
        <v>385</v>
      </c>
      <c r="W13" s="14" t="s">
        <v>31</v>
      </c>
      <c r="Y13" s="11"/>
    </row>
    <row r="14" spans="1:25" ht="12.75" customHeight="1">
      <c r="A14" s="13" t="s">
        <v>386</v>
      </c>
      <c r="B14" s="27" t="s">
        <v>37</v>
      </c>
      <c r="C14" s="139">
        <f>'Porovnání s r-1 (částky a)'!C14/'Porovnání s r-1 (částky a)'!C$37</f>
        <v>0.08465239458349394</v>
      </c>
      <c r="D14" s="17">
        <f>'Porovnání s r-1 (částky a)'!D14/'Porovnání s r-1 (částky a)'!D$37</f>
        <v>0.08516264040842253</v>
      </c>
      <c r="E14" s="104">
        <f t="shared" si="0"/>
        <v>0.9940085720395522</v>
      </c>
      <c r="F14" s="19"/>
      <c r="G14" s="140">
        <f>'Porovnání s r-1 (částky a)'!G14/'Porovnání s r-1 (částky a)'!G$37</f>
        <v>0.07879765183594664</v>
      </c>
      <c r="H14" s="17">
        <f>'Porovnání s r-1 (částky a)'!H14/'Porovnání s r-1 (částky a)'!H$37</f>
        <v>0.0787973253277946</v>
      </c>
      <c r="I14" s="106">
        <f t="shared" si="1"/>
        <v>1.0000041436451135</v>
      </c>
      <c r="J14" s="19"/>
      <c r="K14" s="141">
        <f>'Porovnání s r-1 (částky a)'!K14/'Porovnání s r-1 (částky a)'!K$37</f>
        <v>0.10652316364163211</v>
      </c>
      <c r="L14" s="17">
        <f>'Porovnání s r-1 (částky a)'!L14/'Porovnání s r-1 (částky a)'!L$37</f>
        <v>0.11199089250510463</v>
      </c>
      <c r="M14" s="108">
        <f t="shared" si="2"/>
        <v>0.9511770221563035</v>
      </c>
      <c r="N14" s="19"/>
      <c r="O14" s="17">
        <f>'Porovnání s r-1 (částky a)'!O14/'Porovnání s r-1 (částky a)'!O$37</f>
        <v>0.04342244212169011</v>
      </c>
      <c r="P14" s="17">
        <f>'Porovnání s r-1 (částky a)'!P14/'Porovnání s r-1 (částky a)'!P$37</f>
        <v>0.05058699333333333</v>
      </c>
      <c r="Q14" s="110">
        <f t="shared" si="3"/>
        <v>0.8583716734372059</v>
      </c>
      <c r="R14" s="19"/>
      <c r="S14" s="17">
        <f>'Porovnání s r-1 (částky a)'!S14/'Porovnání s r-1 (částky a)'!S$37</f>
        <v>0.08206884102462735</v>
      </c>
      <c r="T14" s="17">
        <f>'Porovnání s r-1 (částky a)'!T14/'Porovnání s r-1 (částky a)'!T$37</f>
        <v>0.08296919822793247</v>
      </c>
      <c r="U14" s="110">
        <f t="shared" si="4"/>
        <v>0.9891482957225683</v>
      </c>
      <c r="V14" s="13" t="s">
        <v>386</v>
      </c>
      <c r="W14" s="14" t="s">
        <v>37</v>
      </c>
      <c r="Y14" s="11"/>
    </row>
    <row r="15" spans="1:25" ht="12.75" customHeight="1">
      <c r="A15" s="13" t="s">
        <v>387</v>
      </c>
      <c r="B15" s="27" t="s">
        <v>72</v>
      </c>
      <c r="C15" s="139">
        <f>'Porovnání s r-1 (částky a)'!C15/'Porovnání s r-1 (částky a)'!C$37</f>
        <v>0.12462170231999854</v>
      </c>
      <c r="D15" s="17">
        <f>'Porovnání s r-1 (částky a)'!D15/'Porovnání s r-1 (částky a)'!D$37</f>
        <v>0.12461822798635312</v>
      </c>
      <c r="E15" s="104">
        <f t="shared" si="0"/>
        <v>1.0000278798190405</v>
      </c>
      <c r="F15" s="19"/>
      <c r="G15" s="140">
        <f>'Porovnání s r-1 (částky a)'!G15/'Porovnání s r-1 (částky a)'!G$37</f>
        <v>0.20520121812490383</v>
      </c>
      <c r="H15" s="17">
        <f>'Porovnání s r-1 (částky a)'!H15/'Porovnání s r-1 (částky a)'!H$37</f>
        <v>0.20520036717972845</v>
      </c>
      <c r="I15" s="106">
        <f t="shared" si="1"/>
        <v>1.0000041468988925</v>
      </c>
      <c r="J15" s="19"/>
      <c r="K15" s="141">
        <f>'Porovnání s r-1 (částky a)'!K15/'Porovnání s r-1 (částky a)'!K$37</f>
        <v>0.22126110419021588</v>
      </c>
      <c r="L15" s="17">
        <f>'Porovnání s r-1 (částky a)'!L15/'Porovnání s r-1 (částky a)'!L$37</f>
        <v>0.22097467832451156</v>
      </c>
      <c r="M15" s="108">
        <f t="shared" si="2"/>
        <v>1.001296193156049</v>
      </c>
      <c r="N15" s="19"/>
      <c r="O15" s="17">
        <f>'Porovnání s r-1 (částky a)'!O15/'Porovnání s r-1 (částky a)'!O$37</f>
        <v>0.1438973224345604</v>
      </c>
      <c r="P15" s="17">
        <f>'Porovnání s r-1 (částky a)'!P15/'Porovnání s r-1 (částky a)'!P$37</f>
        <v>0.15022350666666667</v>
      </c>
      <c r="Q15" s="110">
        <f t="shared" si="3"/>
        <v>0.9578881869257417</v>
      </c>
      <c r="R15" s="19"/>
      <c r="S15" s="17">
        <f>'Porovnání s r-1 (částky a)'!S15/'Porovnání s r-1 (částky a)'!S$37</f>
        <v>0.15091223785112567</v>
      </c>
      <c r="T15" s="17">
        <f>'Porovnání s r-1 (částky a)'!T15/'Porovnání s r-1 (částky a)'!T$37</f>
        <v>0.15006843964798752</v>
      </c>
      <c r="U15" s="110">
        <f t="shared" si="4"/>
        <v>1.0056227558913615</v>
      </c>
      <c r="V15" s="13" t="s">
        <v>387</v>
      </c>
      <c r="W15" s="14" t="s">
        <v>72</v>
      </c>
      <c r="Y15" s="11"/>
    </row>
    <row r="16" spans="1:25" ht="12.75" customHeight="1">
      <c r="A16" s="13" t="s">
        <v>388</v>
      </c>
      <c r="B16" s="27" t="s">
        <v>81</v>
      </c>
      <c r="C16" s="139">
        <f>'Porovnání s r-1 (částky a)'!C16/'Porovnání s r-1 (částky a)'!C$37</f>
        <v>0.07986322034932229</v>
      </c>
      <c r="D16" s="17">
        <f>'Porovnání s r-1 (částky a)'!D16/'Porovnání s r-1 (částky a)'!D$37</f>
        <v>0.08010964015364379</v>
      </c>
      <c r="E16" s="104">
        <f t="shared" si="0"/>
        <v>0.9969239681535346</v>
      </c>
      <c r="F16" s="19"/>
      <c r="G16" s="140">
        <f>'Porovnání s r-1 (částky a)'!G16/'Porovnání s r-1 (částky a)'!G$37</f>
        <v>0.250634904530565</v>
      </c>
      <c r="H16" s="17">
        <f>'Porovnání s r-1 (částky a)'!H16/'Porovnání s r-1 (částky a)'!H$37</f>
        <v>0.25063386524247666</v>
      </c>
      <c r="I16" s="106">
        <f t="shared" si="1"/>
        <v>1.0000041466387126</v>
      </c>
      <c r="J16" s="19"/>
      <c r="K16" s="141">
        <f>'Porovnání s r-1 (částky a)'!K16/'Porovnání s r-1 (částky a)'!K$37</f>
        <v>0.14669261590817953</v>
      </c>
      <c r="L16" s="17">
        <f>'Porovnání s r-1 (částky a)'!L16/'Porovnání s r-1 (částky a)'!L$37</f>
        <v>0.17983711222362697</v>
      </c>
      <c r="M16" s="108">
        <f t="shared" si="2"/>
        <v>0.8156971277750926</v>
      </c>
      <c r="N16" s="19"/>
      <c r="O16" s="17">
        <f>'Porovnání s r-1 (částky a)'!O16/'Porovnání s r-1 (částky a)'!O$37</f>
        <v>0.12718277535443648</v>
      </c>
      <c r="P16" s="17">
        <f>'Porovnání s r-1 (částky a)'!P16/'Porovnání s r-1 (částky a)'!P$37</f>
        <v>0.13635076666666668</v>
      </c>
      <c r="Q16" s="110">
        <f t="shared" si="3"/>
        <v>0.9327617179106666</v>
      </c>
      <c r="R16" s="19"/>
      <c r="S16" s="17">
        <f>'Porovnání s r-1 (částky a)'!S16/'Porovnání s r-1 (částky a)'!S$37</f>
        <v>0.13251152894679327</v>
      </c>
      <c r="T16" s="17">
        <f>'Porovnání s r-1 (částky a)'!T16/'Porovnání s r-1 (částky a)'!T$37</f>
        <v>0.1316066491624842</v>
      </c>
      <c r="U16" s="110">
        <f t="shared" si="4"/>
        <v>1.0068756388075186</v>
      </c>
      <c r="V16" s="13" t="s">
        <v>388</v>
      </c>
      <c r="W16" s="14" t="s">
        <v>81</v>
      </c>
      <c r="Y16" s="11"/>
    </row>
    <row r="17" spans="1:25" ht="12.75" customHeight="1">
      <c r="A17" s="13" t="s">
        <v>389</v>
      </c>
      <c r="B17" s="27" t="s">
        <v>87</v>
      </c>
      <c r="C17" s="139">
        <f>'Porovnání s r-1 (částky a)'!C17/'Porovnání s r-1 (částky a)'!C$37</f>
        <v>0.05835665547631395</v>
      </c>
      <c r="D17" s="17">
        <f>'Porovnání s r-1 (částky a)'!D17/'Porovnání s r-1 (částky a)'!D$37</f>
        <v>0.05839402328316463</v>
      </c>
      <c r="E17" s="104">
        <f t="shared" si="0"/>
        <v>0.9993600748030415</v>
      </c>
      <c r="F17" s="19"/>
      <c r="G17" s="140">
        <f>'Porovnání s r-1 (částky a)'!G17/'Porovnání s r-1 (částky a)'!G$37</f>
        <v>0.017358162463983955</v>
      </c>
      <c r="H17" s="17">
        <f>'Porovnání s r-1 (částky a)'!H17/'Porovnání s r-1 (částky a)'!H$37</f>
        <v>0.017358090531995995</v>
      </c>
      <c r="I17" s="106">
        <f t="shared" si="1"/>
        <v>1.0000041440035023</v>
      </c>
      <c r="J17" s="19"/>
      <c r="K17" s="141">
        <f>'Porovnání s r-1 (částky a)'!K17/'Porovnání s r-1 (částky a)'!K$37</f>
        <v>0.02805085527155518</v>
      </c>
      <c r="L17" s="17">
        <f>'Porovnání s r-1 (částky a)'!L17/'Porovnání s r-1 (částky a)'!L$37</f>
        <v>0.02959443611428711</v>
      </c>
      <c r="M17" s="108">
        <f t="shared" si="2"/>
        <v>0.9478421944999741</v>
      </c>
      <c r="N17" s="19"/>
      <c r="O17" s="17">
        <f>'Porovnání s r-1 (částky a)'!O17/'Porovnání s r-1 (částky a)'!O$37</f>
        <v>0.019206010713010733</v>
      </c>
      <c r="P17" s="17">
        <f>'Porovnání s r-1 (částky a)'!P17/'Porovnání s r-1 (částky a)'!P$37</f>
        <v>0.025515433333333334</v>
      </c>
      <c r="Q17" s="110">
        <f t="shared" si="3"/>
        <v>0.7527213221152714</v>
      </c>
      <c r="R17" s="19"/>
      <c r="S17" s="17">
        <f>'Porovnání s r-1 (částky a)'!S17/'Porovnání s r-1 (částky a)'!S$37</f>
        <v>0.044426333573745265</v>
      </c>
      <c r="T17" s="17">
        <f>'Porovnání s r-1 (částky a)'!T17/'Porovnání s r-1 (částky a)'!T$37</f>
        <v>0.04530535531918101</v>
      </c>
      <c r="U17" s="110">
        <f t="shared" si="4"/>
        <v>0.9805978401616555</v>
      </c>
      <c r="V17" s="13" t="s">
        <v>389</v>
      </c>
      <c r="W17" s="14" t="s">
        <v>87</v>
      </c>
      <c r="Y17" s="11"/>
    </row>
    <row r="18" spans="1:25" ht="12.75" customHeight="1">
      <c r="A18" s="13" t="s">
        <v>390</v>
      </c>
      <c r="B18" s="41" t="s">
        <v>45</v>
      </c>
      <c r="C18" s="139">
        <f>'Porovnání s r-1 (částky a)'!C18/'Porovnání s r-1 (částky a)'!C$37</f>
        <v>0.06396964196045724</v>
      </c>
      <c r="D18" s="17">
        <f>'Porovnání s r-1 (částky a)'!D18/'Porovnání s r-1 (částky a)'!D$37</f>
        <v>0.06153285949292384</v>
      </c>
      <c r="E18" s="104">
        <f t="shared" si="0"/>
        <v>1.0396013201338972</v>
      </c>
      <c r="F18" s="19"/>
      <c r="G18" s="140">
        <f>'Porovnání s r-1 (částky a)'!G18/'Porovnání s r-1 (částky a)'!G$37</f>
        <v>0.031606718045834245</v>
      </c>
      <c r="H18" s="17">
        <f>'Porovnání s r-1 (částky a)'!H18/'Porovnání s r-1 (částky a)'!H$37</f>
        <v>0.03160658692337923</v>
      </c>
      <c r="I18" s="106">
        <f t="shared" si="1"/>
        <v>1.00000414858002</v>
      </c>
      <c r="J18" s="19"/>
      <c r="K18" s="141">
        <f>'Porovnání s r-1 (částky a)'!K18/'Porovnání s r-1 (částky a)'!K$37</f>
        <v>0.050511098481434924</v>
      </c>
      <c r="L18" s="17">
        <f>'Porovnání s r-1 (částky a)'!L18/'Porovnání s r-1 (částky a)'!L$37</f>
        <v>0.04622451602741067</v>
      </c>
      <c r="M18" s="108">
        <f t="shared" si="2"/>
        <v>1.0927339607294613</v>
      </c>
      <c r="N18" s="19"/>
      <c r="O18" s="17">
        <f>'Porovnání s r-1 (částky a)'!O18/'Porovnání s r-1 (částky a)'!O$37</f>
        <v>0.049475059917175476</v>
      </c>
      <c r="P18" s="17">
        <f>'Porovnání s r-1 (částky a)'!P18/'Porovnání s r-1 (částky a)'!P$37</f>
        <v>0.049694433333333336</v>
      </c>
      <c r="Q18" s="110">
        <f t="shared" si="3"/>
        <v>0.9955855535229393</v>
      </c>
      <c r="R18" s="19"/>
      <c r="S18" s="17">
        <f>'Porovnání s r-1 (částky a)'!S18/'Porovnání s r-1 (částky a)'!S$37</f>
        <v>0.0537842913995352</v>
      </c>
      <c r="T18" s="17">
        <f>'Porovnání s r-1 (částky a)'!T18/'Porovnání s r-1 (částky a)'!T$37</f>
        <v>0.05248686377599494</v>
      </c>
      <c r="U18" s="110">
        <f t="shared" si="4"/>
        <v>1.0247190921728047</v>
      </c>
      <c r="V18" s="13" t="s">
        <v>390</v>
      </c>
      <c r="W18" s="14" t="s">
        <v>45</v>
      </c>
      <c r="Y18" s="11"/>
    </row>
    <row r="19" spans="1:25" ht="12.75" customHeight="1">
      <c r="A19" s="13" t="s">
        <v>391</v>
      </c>
      <c r="B19" s="27" t="s">
        <v>94</v>
      </c>
      <c r="C19" s="139">
        <f>'Porovnání s r-1 (částky a)'!C19/'Porovnání s r-1 (částky a)'!C$37</f>
        <v>0.034116131991264904</v>
      </c>
      <c r="D19" s="17">
        <f>'Porovnání s r-1 (částky a)'!D19/'Porovnání s r-1 (částky a)'!D$37</f>
        <v>0.03385189489005108</v>
      </c>
      <c r="E19" s="104">
        <f t="shared" si="0"/>
        <v>1.0078056812498104</v>
      </c>
      <c r="F19" s="19"/>
      <c r="G19" s="140">
        <f>'Porovnání s r-1 (částky a)'!G19/'Porovnání s r-1 (částky a)'!G$37</f>
        <v>0.007110917315726415</v>
      </c>
      <c r="H19" s="17">
        <f>'Porovnání s r-1 (částky a)'!H19/'Porovnání s r-1 (částky a)'!H$37</f>
        <v>0.007110887781228902</v>
      </c>
      <c r="I19" s="106">
        <f t="shared" si="1"/>
        <v>1.0000041534191542</v>
      </c>
      <c r="J19" s="19"/>
      <c r="K19" s="141">
        <f>'Porovnání s r-1 (částky a)'!K19/'Porovnání s r-1 (částky a)'!K$37</f>
        <v>0.015019676428087216</v>
      </c>
      <c r="L19" s="17">
        <f>'Porovnání s r-1 (částky a)'!L19/'Porovnání s r-1 (částky a)'!L$37</f>
        <v>0.013397656876336126</v>
      </c>
      <c r="M19" s="108">
        <f t="shared" si="2"/>
        <v>1.1210674050487153</v>
      </c>
      <c r="N19" s="19"/>
      <c r="O19" s="17">
        <f>'Porovnání s r-1 (částky a)'!O19/'Porovnání s r-1 (částky a)'!O$37</f>
        <v>0.08505331233256584</v>
      </c>
      <c r="P19" s="17">
        <f>'Porovnání s r-1 (částky a)'!P19/'Porovnání s r-1 (částky a)'!P$37</f>
        <v>0.11155082666666667</v>
      </c>
      <c r="Q19" s="110">
        <f t="shared" si="3"/>
        <v>0.7624624117463511</v>
      </c>
      <c r="R19" s="19"/>
      <c r="S19" s="17">
        <f>'Porovnání s r-1 (částky a)'!S19/'Porovnání s r-1 (částky a)'!S$37</f>
        <v>0.027585350991388896</v>
      </c>
      <c r="T19" s="17">
        <f>'Porovnání s r-1 (částky a)'!T19/'Porovnání s r-1 (částky a)'!T$37</f>
        <v>0.028278739095080975</v>
      </c>
      <c r="U19" s="110">
        <f t="shared" si="4"/>
        <v>0.9754802326454262</v>
      </c>
      <c r="V19" s="13" t="s">
        <v>391</v>
      </c>
      <c r="W19" s="14" t="s">
        <v>94</v>
      </c>
      <c r="Y19" s="11"/>
    </row>
    <row r="20" spans="1:25" ht="12.75" customHeight="1">
      <c r="A20" s="13" t="s">
        <v>392</v>
      </c>
      <c r="B20" s="27" t="s">
        <v>58</v>
      </c>
      <c r="C20" s="139">
        <f>'Porovnání s r-1 (částky a)'!C20/'Porovnání s r-1 (částky a)'!C$37</f>
        <v>0.029061718628009426</v>
      </c>
      <c r="D20" s="17">
        <f>'Porovnání s r-1 (částky a)'!D20/'Porovnání s r-1 (částky a)'!D$37</f>
        <v>0.02932908501676874</v>
      </c>
      <c r="E20" s="104">
        <f t="shared" si="0"/>
        <v>0.9908839164738195</v>
      </c>
      <c r="F20" s="19"/>
      <c r="G20" s="140">
        <f>'Porovnání s r-1 (částky a)'!G20/'Porovnání s r-1 (částky a)'!G$37</f>
        <v>0.016457028067835198</v>
      </c>
      <c r="H20" s="17">
        <f>'Porovnání s r-1 (částky a)'!H20/'Porovnání s r-1 (částky a)'!H$37</f>
        <v>0.016456960023516414</v>
      </c>
      <c r="I20" s="106">
        <f t="shared" si="1"/>
        <v>1.000004134683361</v>
      </c>
      <c r="J20" s="19"/>
      <c r="K20" s="141">
        <f>'Porovnání s r-1 (částky a)'!K20/'Porovnání s r-1 (částky a)'!K$37</f>
        <v>0.026600229984414907</v>
      </c>
      <c r="L20" s="17">
        <f>'Porovnání s r-1 (částky a)'!L20/'Porovnání s r-1 (částky a)'!L$37</f>
        <v>0.026388011118010028</v>
      </c>
      <c r="M20" s="108">
        <f t="shared" si="2"/>
        <v>1.0080422456037257</v>
      </c>
      <c r="N20" s="19"/>
      <c r="O20" s="17">
        <f>'Porovnání s r-1 (částky a)'!O20/'Porovnání s r-1 (částky a)'!O$37</f>
        <v>0.0387329796816551</v>
      </c>
      <c r="P20" s="17">
        <f>'Porovnání s r-1 (částky a)'!P20/'Porovnání s r-1 (částky a)'!P$37</f>
        <v>0.0303078</v>
      </c>
      <c r="Q20" s="110">
        <f t="shared" si="3"/>
        <v>1.2779871743133815</v>
      </c>
      <c r="R20" s="19"/>
      <c r="S20" s="17">
        <f>'Porovnání s r-1 (částky a)'!S20/'Porovnání s r-1 (částky a)'!S$37</f>
        <v>0.025684926467933154</v>
      </c>
      <c r="T20" s="17">
        <f>'Porovnání s r-1 (částky a)'!T20/'Porovnání s r-1 (částky a)'!T$37</f>
        <v>0.025706287639898167</v>
      </c>
      <c r="U20" s="110">
        <f t="shared" si="4"/>
        <v>0.999169029294924</v>
      </c>
      <c r="V20" s="13" t="s">
        <v>392</v>
      </c>
      <c r="W20" s="14" t="s">
        <v>58</v>
      </c>
      <c r="Y20" s="11"/>
    </row>
    <row r="21" spans="1:25" ht="12.75" customHeight="1">
      <c r="A21" s="29" t="s">
        <v>393</v>
      </c>
      <c r="B21" s="78" t="s">
        <v>373</v>
      </c>
      <c r="C21" s="139">
        <f>'Porovnání s r-1 (částky a)'!C21/'Porovnání s r-1 (částky a)'!C$37</f>
        <v>0.002939043740764415</v>
      </c>
      <c r="D21" s="17">
        <f>'Porovnání s r-1 (částky a)'!D21/'Porovnání s r-1 (částky a)'!D$37</f>
        <v>0.003493837849306727</v>
      </c>
      <c r="E21" s="104">
        <f t="shared" si="0"/>
        <v>0.8412078257574552</v>
      </c>
      <c r="F21" s="19"/>
      <c r="G21" s="140">
        <f>'Porovnání s r-1 (částky a)'!G21/'Porovnání s r-1 (částky a)'!G$37</f>
        <v>0.005383943560352694</v>
      </c>
      <c r="H21" s="17">
        <f>'Porovnání s r-1 (částky a)'!H21/'Porovnání s r-1 (částky a)'!H$37</f>
        <v>0.005383993856210151</v>
      </c>
      <c r="I21" s="106">
        <f t="shared" si="1"/>
        <v>0.9999906582624721</v>
      </c>
      <c r="J21" s="19"/>
      <c r="K21" s="141">
        <f>'Porovnání s r-1 (částky a)'!K21/'Porovnání s r-1 (částky a)'!K$37</f>
        <v>0.008899341649197635</v>
      </c>
      <c r="L21" s="17">
        <f>'Porovnání s r-1 (částky a)'!L21/'Porovnání s r-1 (částky a)'!L$37</f>
        <v>0.005964921086587757</v>
      </c>
      <c r="M21" s="108">
        <f t="shared" si="2"/>
        <v>1.4919462504219847</v>
      </c>
      <c r="N21" s="19"/>
      <c r="O21" s="17">
        <f>'Porovnání s r-1 (částky a)'!O21/'Porovnání s r-1 (částky a)'!O$37</f>
        <v>0.00040871339050856494</v>
      </c>
      <c r="P21" s="17">
        <f>'Porovnání s r-1 (částky a)'!P21/'Porovnání s r-1 (částky a)'!P$37</f>
        <v>0.0004373066666666667</v>
      </c>
      <c r="Q21" s="110">
        <f t="shared" si="3"/>
        <v>0.9346150462876508</v>
      </c>
      <c r="R21" s="19"/>
      <c r="S21" s="17">
        <f>'Porovnání s r-1 (částky a)'!S21/'Porovnání s r-1 (částky a)'!S$37</f>
        <v>0.003702395921016941</v>
      </c>
      <c r="T21" s="17">
        <f>'Porovnání s r-1 (částky a)'!T21/'Porovnání s r-1 (částky a)'!T$37</f>
        <v>0.00398519880871773</v>
      </c>
      <c r="U21" s="110">
        <f t="shared" si="4"/>
        <v>0.9290366927034732</v>
      </c>
      <c r="V21" s="13" t="s">
        <v>393</v>
      </c>
      <c r="W21" s="14" t="s">
        <v>373</v>
      </c>
      <c r="Y21" s="11"/>
    </row>
    <row r="22" spans="1:25" ht="12.75" customHeight="1">
      <c r="A22" s="49" t="s">
        <v>421</v>
      </c>
      <c r="B22" s="68"/>
      <c r="C22" s="139">
        <f>SUM(C4:C21)</f>
        <v>0.915925151774861</v>
      </c>
      <c r="D22" s="17">
        <f>'Porovnání s r-1 (částky a)'!D22/'Porovnání s r-1 (částky a)'!D$37</f>
        <v>0.9159239493306649</v>
      </c>
      <c r="E22" s="104">
        <f t="shared" si="0"/>
        <v>1.000001312821001</v>
      </c>
      <c r="F22" s="19"/>
      <c r="G22" s="140">
        <f>SUM(G4:G21)</f>
        <v>0.904201123165938</v>
      </c>
      <c r="H22" s="17">
        <f>'Porovnání s r-1 (částky a)'!H22/'Porovnání s r-1 (částky a)'!H$37</f>
        <v>0.9041974464472587</v>
      </c>
      <c r="I22" s="106">
        <f t="shared" si="1"/>
        <v>1.0000040662785477</v>
      </c>
      <c r="J22" s="19"/>
      <c r="K22" s="141">
        <f>SUM(K4:K21)</f>
        <v>0.9999999999999999</v>
      </c>
      <c r="L22" s="17">
        <f>'Porovnání s r-1 (částky a)'!L22/'Porovnání s r-1 (částky a)'!L$37</f>
        <v>1</v>
      </c>
      <c r="M22" s="108">
        <f t="shared" si="2"/>
        <v>0.9999999999999999</v>
      </c>
      <c r="N22" s="19"/>
      <c r="O22" s="17">
        <f>SUM(O4:O21)</f>
        <v>0.8829320353657917</v>
      </c>
      <c r="P22" s="17">
        <f>'Porovnání s r-1 (částky a)'!P22/'Porovnání s r-1 (částky a)'!P$37</f>
        <v>0.87240154</v>
      </c>
      <c r="Q22" s="110">
        <f t="shared" si="3"/>
        <v>1.012070697818566</v>
      </c>
      <c r="R22" s="19"/>
      <c r="S22" s="17">
        <f>SUM(S4:S21)</f>
        <v>0.9134076171086384</v>
      </c>
      <c r="T22" s="17">
        <f>'Porovnání s r-1 (částky a)'!T22/'Porovnání s r-1 (částky a)'!T$37</f>
        <v>0.9132982118910055</v>
      </c>
      <c r="U22" s="110">
        <f t="shared" si="4"/>
        <v>1.0001197913411068</v>
      </c>
      <c r="V22" s="49" t="s">
        <v>421</v>
      </c>
      <c r="W22" s="50"/>
      <c r="Y22" s="11"/>
    </row>
    <row r="23" spans="1:23" ht="12.75" customHeight="1">
      <c r="A23" s="30"/>
      <c r="B23" s="31"/>
      <c r="C23">
        <f>'1 Příspěvek na vzdělávání'!E23+'5 Koheze'!J23+'5 Koheze'!K23+'4.6 RUK'!C23</f>
        <v>0</v>
      </c>
      <c r="O23" s="16"/>
      <c r="P23" s="16"/>
      <c r="Q23" s="16"/>
      <c r="R23" s="16"/>
      <c r="S23" s="16"/>
      <c r="T23" s="16"/>
      <c r="U23" s="16"/>
      <c r="V23" s="30"/>
      <c r="W23" s="31"/>
    </row>
    <row r="24" spans="1:25" ht="12.75" customHeight="1">
      <c r="A24" s="33" t="s">
        <v>401</v>
      </c>
      <c r="B24" s="34" t="s">
        <v>402</v>
      </c>
      <c r="C24" s="139">
        <f>'Porovnání s r-1 (částky a)'!C24/'Porovnání s r-1 (částky a)'!C$37</f>
        <v>0</v>
      </c>
      <c r="D24" s="17">
        <f>'Porovnání s r-1 (částky a)'!D24/'Porovnání s r-1 (částky a)'!D$37</f>
        <v>0</v>
      </c>
      <c r="E24" s="104">
        <f aca="true" t="shared" si="5" ref="E24:E36">IF(D24=0,0,C24/D24)</f>
        <v>0</v>
      </c>
      <c r="F24" s="19"/>
      <c r="G24" s="140">
        <f>'Porovnání s r-1 (částky a)'!G24/'Porovnání s r-1 (částky a)'!G$37</f>
        <v>0</v>
      </c>
      <c r="H24" s="17">
        <f>'Porovnání s r-1 (částky a)'!H24/'Porovnání s r-1 (částky a)'!H$37</f>
        <v>0</v>
      </c>
      <c r="I24" s="106">
        <f aca="true" t="shared" si="6" ref="I24:I36">IF(H24=0,0,G24/H24)</f>
        <v>0</v>
      </c>
      <c r="J24" s="19"/>
      <c r="K24" s="141">
        <f>'Porovnání s r-1 (částky a)'!K24/'Porovnání s r-1 (částky a)'!K$37</f>
        <v>0</v>
      </c>
      <c r="L24" s="17">
        <f>'Porovnání s r-1 (částky a)'!L24/'Porovnání s r-1 (částky a)'!L$37</f>
        <v>0</v>
      </c>
      <c r="M24" s="108">
        <f aca="true" t="shared" si="7" ref="M24:M36">IF(L24=0,0,K24/L24)</f>
        <v>0</v>
      </c>
      <c r="N24" s="19"/>
      <c r="O24" s="17">
        <f>'Porovnání s r-1 (částky a)'!O24/'Porovnání s r-1 (částky a)'!O$37</f>
        <v>0</v>
      </c>
      <c r="P24" s="17">
        <f>'Porovnání s r-1 (částky a)'!P24/'Porovnání s r-1 (částky a)'!P$37</f>
        <v>0</v>
      </c>
      <c r="Q24" s="110">
        <f aca="true" t="shared" si="8" ref="Q24:Q36">IF(P24=0,0,O24/P24)</f>
        <v>0</v>
      </c>
      <c r="R24" s="19"/>
      <c r="S24" s="17">
        <f>'Porovnání s r-1 (částky a)'!S24/'Porovnání s r-1 (částky a)'!S$37</f>
        <v>0</v>
      </c>
      <c r="T24" s="17">
        <f>'Porovnání s r-1 (částky a)'!T24/'Porovnání s r-1 (částky a)'!T$37</f>
        <v>0</v>
      </c>
      <c r="U24" s="110">
        <f aca="true" t="shared" si="9" ref="U24:U36">IF(T24=0,0,S24/T24)</f>
        <v>0</v>
      </c>
      <c r="V24" s="33" t="s">
        <v>401</v>
      </c>
      <c r="W24" s="34" t="s">
        <v>402</v>
      </c>
      <c r="Y24" s="11"/>
    </row>
    <row r="25" spans="1:25" ht="12.75" customHeight="1">
      <c r="A25" s="112" t="s">
        <v>403</v>
      </c>
      <c r="B25" s="113" t="s">
        <v>419</v>
      </c>
      <c r="C25" s="768">
        <f>'Porovnání s r-1 (částky a)'!C25/'Porovnání s r-1 (částky a)'!C$37</f>
        <v>0.05256637114559135</v>
      </c>
      <c r="D25" s="773">
        <f>'Porovnání s r-1 (částky a)'!D25/'Porovnání s r-1 (částky a)'!D$37</f>
        <v>0.05256712312069114</v>
      </c>
      <c r="E25" s="116">
        <f t="shared" si="5"/>
        <v>0.9999856949542767</v>
      </c>
      <c r="F25" s="19"/>
      <c r="G25" s="782">
        <f>'Porovnání s r-1 (částky a)'!G25/'Porovnání s r-1 (částky a)'!G$37</f>
        <v>0.08706990302330478</v>
      </c>
      <c r="H25" s="773">
        <f>'Porovnání s r-1 (částky a)'!H25/'Porovnání s r-1 (částky a)'!H$37</f>
        <v>0.08707319329551792</v>
      </c>
      <c r="I25" s="118">
        <f t="shared" si="6"/>
        <v>0.9999622125698092</v>
      </c>
      <c r="J25" s="19"/>
      <c r="K25" s="790">
        <f>'Porovnání s r-1 (částky a)'!K25/'Porovnání s r-1 (částky a)'!K$37</f>
        <v>0</v>
      </c>
      <c r="L25" s="773">
        <f>'Porovnání s r-1 (částky a)'!L25/'Porovnání s r-1 (částky a)'!L$37</f>
        <v>0</v>
      </c>
      <c r="M25" s="120">
        <f t="shared" si="7"/>
        <v>0</v>
      </c>
      <c r="N25" s="19"/>
      <c r="O25" s="773">
        <f>'Porovnání s r-1 (částky a)'!O25/'Porovnání s r-1 (částky a)'!O$37</f>
        <v>0.0373068678424732</v>
      </c>
      <c r="P25" s="773">
        <f>'Porovnání s r-1 (částky a)'!P25/'Porovnání s r-1 (částky a)'!P$37</f>
        <v>0.035294933333333334</v>
      </c>
      <c r="Q25" s="122">
        <f t="shared" si="8"/>
        <v>1.0570034936782202</v>
      </c>
      <c r="R25" s="19"/>
      <c r="S25" s="773">
        <f>'Porovnání s r-1 (částky a)'!S25/'Porovnání s r-1 (částky a)'!S$37</f>
        <v>0.0607792090504344</v>
      </c>
      <c r="T25" s="773">
        <f>'Porovnání s r-1 (částky a)'!T25/'Porovnání s r-1 (částky a)'!T$37</f>
        <v>0.06043080745394342</v>
      </c>
      <c r="U25" s="122">
        <f t="shared" si="9"/>
        <v>1.0057652977209763</v>
      </c>
      <c r="V25" s="112" t="s">
        <v>403</v>
      </c>
      <c r="W25" s="113" t="s">
        <v>419</v>
      </c>
      <c r="Y25" s="11"/>
    </row>
    <row r="26" spans="1:25" ht="12.75" customHeight="1">
      <c r="A26" s="83" t="s">
        <v>405</v>
      </c>
      <c r="B26" s="750" t="s">
        <v>406</v>
      </c>
      <c r="C26" s="770">
        <f>'Porovnání s r-1 (částky a)'!C26/'Porovnání s r-1 (částky a)'!C$37</f>
        <v>0.029822920312443348</v>
      </c>
      <c r="D26" s="775">
        <f>'Porovnání s r-1 (částky a)'!D26/'Porovnání s r-1 (částky a)'!D$37</f>
        <v>0.02982334683053188</v>
      </c>
      <c r="E26" s="770">
        <f t="shared" si="5"/>
        <v>0.9999856985169722</v>
      </c>
      <c r="F26" s="779"/>
      <c r="G26" s="784">
        <f>'Porovnání s r-1 (částky a)'!G26/'Porovnání s r-1 (částky a)'!G$37</f>
        <v>0.05090489280392588</v>
      </c>
      <c r="H26" s="775">
        <f>'Porovnání s r-1 (částky a)'!H26/'Porovnání s r-1 (částky a)'!H$37</f>
        <v>0.05090714788480196</v>
      </c>
      <c r="I26" s="787">
        <f t="shared" si="6"/>
        <v>0.9999557020778067</v>
      </c>
      <c r="J26" s="779"/>
      <c r="K26" s="775">
        <f>'Porovnání s r-1 (částky a)'!K26/'Porovnání s r-1 (částky a)'!K$37</f>
        <v>0</v>
      </c>
      <c r="L26" s="792">
        <f>'Porovnání s r-1 (částky a)'!L26/'Porovnání s r-1 (částky a)'!L$37</f>
        <v>0</v>
      </c>
      <c r="M26" s="775">
        <f t="shared" si="7"/>
        <v>0</v>
      </c>
      <c r="N26" s="778"/>
      <c r="O26" s="793">
        <f>'Porovnání s r-1 (částky a)'!O26/'Porovnání s r-1 (částky a)'!O$37</f>
        <v>0.019862833572012944</v>
      </c>
      <c r="P26" s="796">
        <f>'Porovnání s r-1 (částky a)'!P26/'Porovnání s r-1 (částky a)'!P$37</f>
        <v>0.023371053333333332</v>
      </c>
      <c r="Q26" s="796">
        <f t="shared" si="8"/>
        <v>0.849890387425682</v>
      </c>
      <c r="R26" s="799"/>
      <c r="S26" s="796">
        <f>'Porovnání s r-1 (částky a)'!S26/'Porovnání s r-1 (částky a)'!S$37</f>
        <v>0.03487401489544224</v>
      </c>
      <c r="T26" s="796">
        <f>'Porovnání s r-1 (částky a)'!T26/'Porovnání s r-1 (částky a)'!T$37</f>
        <v>0.034805497815011285</v>
      </c>
      <c r="U26" s="796">
        <f t="shared" si="9"/>
        <v>1.0019685706205128</v>
      </c>
      <c r="V26" s="747" t="s">
        <v>405</v>
      </c>
      <c r="W26" s="124" t="s">
        <v>406</v>
      </c>
      <c r="Y26" s="11"/>
    </row>
    <row r="27" spans="1:27" s="6" customFormat="1" ht="12.75" customHeight="1">
      <c r="A27" s="84"/>
      <c r="B27" s="331" t="s">
        <v>407</v>
      </c>
      <c r="C27" s="771">
        <f>'Porovnání s r-1 (částky a)'!C27/'Porovnání s r-1 (částky a)'!C$37</f>
        <v>0</v>
      </c>
      <c r="D27" s="776">
        <f>'Porovnání s r-1 (částky a)'!D27/'Porovnání s r-1 (částky a)'!D$37</f>
        <v>0</v>
      </c>
      <c r="E27" s="771">
        <f t="shared" si="5"/>
        <v>0</v>
      </c>
      <c r="F27" s="780"/>
      <c r="G27" s="785">
        <f>'Porovnání s r-1 (částky a)'!G27/'Porovnání s r-1 (částky a)'!G$37</f>
        <v>0.006445019658091587</v>
      </c>
      <c r="H27" s="776">
        <f>'Porovnání s r-1 (částky a)'!H27/'Porovnání s r-1 (částky a)'!H$37</f>
        <v>0.006445065152166324</v>
      </c>
      <c r="I27" s="788">
        <f t="shared" si="6"/>
        <v>0.999992941254485</v>
      </c>
      <c r="J27" s="780"/>
      <c r="K27" s="776">
        <f>'Porovnání s r-1 (částky a)'!K27/'Porovnání s r-1 (částky a)'!K$37</f>
        <v>0</v>
      </c>
      <c r="L27" s="776">
        <f>'Porovnání s r-1 (částky a)'!L27/'Porovnání s r-1 (částky a)'!L$37</f>
        <v>0</v>
      </c>
      <c r="M27" s="776">
        <f t="shared" si="7"/>
        <v>0</v>
      </c>
      <c r="N27" s="766"/>
      <c r="O27" s="794">
        <f>'Porovnání s r-1 (částky a)'!O27/'Porovnání s r-1 (částky a)'!O$37</f>
        <v>0</v>
      </c>
      <c r="P27" s="797">
        <f>'Porovnání s r-1 (částky a)'!P27/'Porovnání s r-1 (částky a)'!P$37</f>
        <v>0</v>
      </c>
      <c r="Q27" s="797">
        <f t="shared" si="8"/>
        <v>0</v>
      </c>
      <c r="R27" s="800"/>
      <c r="S27" s="797">
        <f>'Porovnání s r-1 (částky a)'!S27/'Porovnání s r-1 (částky a)'!S$37</f>
        <v>0.001865747208769853</v>
      </c>
      <c r="T27" s="797">
        <f>'Porovnání s r-1 (částky a)'!T27/'Porovnání s r-1 (částky a)'!T$37</f>
        <v>0.0017945084818144475</v>
      </c>
      <c r="U27" s="797">
        <f t="shared" si="9"/>
        <v>1.039698183473268</v>
      </c>
      <c r="V27" s="748"/>
      <c r="W27" s="125" t="s">
        <v>407</v>
      </c>
      <c r="Z27"/>
      <c r="AA27"/>
    </row>
    <row r="28" spans="1:27" s="6" customFormat="1" ht="12.75" customHeight="1">
      <c r="A28" s="84"/>
      <c r="B28" s="331" t="s">
        <v>408</v>
      </c>
      <c r="C28" s="771">
        <f>'Porovnání s r-1 (částky a)'!C28/'Porovnání s r-1 (částky a)'!C$37</f>
        <v>0</v>
      </c>
      <c r="D28" s="776">
        <f>'Porovnání s r-1 (částky a)'!D28/'Porovnání s r-1 (částky a)'!D$37</f>
        <v>0</v>
      </c>
      <c r="E28" s="771">
        <f t="shared" si="5"/>
        <v>0</v>
      </c>
      <c r="F28" s="780"/>
      <c r="G28" s="785">
        <f>'Porovnání s r-1 (částky a)'!G28/'Porovnání s r-1 (částky a)'!G$37</f>
        <v>0.008879631688940806</v>
      </c>
      <c r="H28" s="776">
        <f>'Porovnání s r-1 (částky a)'!H28/'Porovnání s r-1 (částky a)'!H$37</f>
        <v>0.008879800500966215</v>
      </c>
      <c r="I28" s="788">
        <f t="shared" si="6"/>
        <v>0.9999809892096798</v>
      </c>
      <c r="J28" s="780"/>
      <c r="K28" s="776">
        <f>'Porovnání s r-1 (částky a)'!K28/'Porovnání s r-1 (částky a)'!K$37</f>
        <v>0</v>
      </c>
      <c r="L28" s="776">
        <f>'Porovnání s r-1 (částky a)'!L28/'Porovnání s r-1 (částky a)'!L$37</f>
        <v>0</v>
      </c>
      <c r="M28" s="776">
        <f t="shared" si="7"/>
        <v>0</v>
      </c>
      <c r="N28" s="766"/>
      <c r="O28" s="794">
        <f>'Porovnání s r-1 (částky a)'!O28/'Porovnání s r-1 (částky a)'!O$37</f>
        <v>0.00034113086136935343</v>
      </c>
      <c r="P28" s="797">
        <f>'Porovnání s r-1 (částky a)'!P28/'Porovnání s r-1 (částky a)'!P$37</f>
        <v>0.00040534666666666665</v>
      </c>
      <c r="Q28" s="797">
        <f t="shared" si="8"/>
        <v>0.8415780600211016</v>
      </c>
      <c r="R28" s="800"/>
      <c r="S28" s="797">
        <f>'Porovnání s r-1 (částky a)'!S28/'Porovnání s r-1 (částky a)'!S$37</f>
        <v>0.0025822029630551686</v>
      </c>
      <c r="T28" s="797">
        <f>'Porovnání s r-1 (částky a)'!T28/'Porovnání s r-1 (částky a)'!T$37</f>
        <v>0.00248466374905415</v>
      </c>
      <c r="U28" s="797">
        <f t="shared" si="9"/>
        <v>1.0392565046429922</v>
      </c>
      <c r="V28" s="748"/>
      <c r="W28" s="125" t="s">
        <v>408</v>
      </c>
      <c r="Z28"/>
      <c r="AA28"/>
    </row>
    <row r="29" spans="1:27" s="6" customFormat="1" ht="12.75" customHeight="1">
      <c r="A29" s="84"/>
      <c r="B29" s="331" t="s">
        <v>409</v>
      </c>
      <c r="C29" s="771">
        <f>'Porovnání s r-1 (částky a)'!C29/'Porovnání s r-1 (částky a)'!C$37</f>
        <v>0</v>
      </c>
      <c r="D29" s="776">
        <f>'Porovnání s r-1 (částky a)'!D29/'Porovnání s r-1 (částky a)'!D$37</f>
        <v>0</v>
      </c>
      <c r="E29" s="771">
        <f t="shared" si="5"/>
        <v>0</v>
      </c>
      <c r="F29" s="780"/>
      <c r="G29" s="785">
        <f>'Porovnání s r-1 (částky a)'!G29/'Porovnání s r-1 (částky a)'!G$37</f>
        <v>0.003577819990847878</v>
      </c>
      <c r="H29" s="776">
        <f>'Porovnání s r-1 (částky a)'!H29/'Porovnání s r-1 (částky a)'!H$37</f>
        <v>0.0035779786842865063</v>
      </c>
      <c r="I29" s="788">
        <f t="shared" si="6"/>
        <v>0.9999556471816545</v>
      </c>
      <c r="J29" s="780"/>
      <c r="K29" s="776">
        <f>'Porovnání s r-1 (částky a)'!K29/'Porovnání s r-1 (částky a)'!K$37</f>
        <v>0</v>
      </c>
      <c r="L29" s="776">
        <f>'Porovnání s r-1 (částky a)'!L29/'Porovnání s r-1 (částky a)'!L$37</f>
        <v>0</v>
      </c>
      <c r="M29" s="776">
        <f t="shared" si="7"/>
        <v>0</v>
      </c>
      <c r="N29" s="766"/>
      <c r="O29" s="794">
        <f>'Porovnání s r-1 (částky a)'!O29/'Porovnání s r-1 (částky a)'!O$37</f>
        <v>0</v>
      </c>
      <c r="P29" s="797">
        <f>'Porovnání s r-1 (částky a)'!P29/'Porovnání s r-1 (částky a)'!P$37</f>
        <v>0</v>
      </c>
      <c r="Q29" s="797">
        <f t="shared" si="8"/>
        <v>0</v>
      </c>
      <c r="R29" s="800"/>
      <c r="S29" s="797">
        <f>'Porovnání s r-1 (částky a)'!S29/'Porovnání s r-1 (částky a)'!S$37</f>
        <v>0.0010357311560756377</v>
      </c>
      <c r="T29" s="797">
        <f>'Porovnání s r-1 (částky a)'!T29/'Porovnání s r-1 (částky a)'!T$37</f>
        <v>0.0009962215966963955</v>
      </c>
      <c r="U29" s="797">
        <f t="shared" si="9"/>
        <v>1.0396594086197903</v>
      </c>
      <c r="V29" s="748"/>
      <c r="W29" s="125" t="s">
        <v>409</v>
      </c>
      <c r="Z29"/>
      <c r="AA29"/>
    </row>
    <row r="30" spans="1:27" s="6" customFormat="1" ht="12.75" customHeight="1">
      <c r="A30" s="84"/>
      <c r="B30" s="331" t="s">
        <v>411</v>
      </c>
      <c r="C30" s="771">
        <f>'Porovnání s r-1 (částky a)'!C30/'Porovnání s r-1 (částky a)'!C$37</f>
        <v>0.0006190910045145179</v>
      </c>
      <c r="D30" s="776">
        <f>'Porovnání s r-1 (částky a)'!D30/'Porovnání s r-1 (částky a)'!D$37</f>
        <v>0.0006190998447286869</v>
      </c>
      <c r="E30" s="771">
        <f t="shared" si="5"/>
        <v>0.9999857208586882</v>
      </c>
      <c r="F30" s="780"/>
      <c r="G30" s="785">
        <f>'Porovnání s r-1 (částky a)'!G30/'Porovnání s r-1 (částky a)'!G$37</f>
        <v>0.006302155250580051</v>
      </c>
      <c r="H30" s="776">
        <f>'Porovnání s r-1 (částky a)'!H30/'Porovnání s r-1 (částky a)'!H$37</f>
        <v>0.006302331911497461</v>
      </c>
      <c r="I30" s="788">
        <f t="shared" si="6"/>
        <v>0.9999719689600785</v>
      </c>
      <c r="J30" s="780"/>
      <c r="K30" s="776">
        <f>'Porovnání s r-1 (částky a)'!K30/'Porovnání s r-1 (částky a)'!K$37</f>
        <v>0</v>
      </c>
      <c r="L30" s="776">
        <f>'Porovnání s r-1 (částky a)'!L30/'Porovnání s r-1 (částky a)'!L$37</f>
        <v>0</v>
      </c>
      <c r="M30" s="776">
        <f t="shared" si="7"/>
        <v>0</v>
      </c>
      <c r="N30" s="766"/>
      <c r="O30" s="794">
        <f>'Porovnání s r-1 (částky a)'!O30/'Porovnání s r-1 (částky a)'!O$37</f>
        <v>0.01710290340909091</v>
      </c>
      <c r="P30" s="797">
        <f>'Porovnání s r-1 (částky a)'!P30/'Porovnání s r-1 (částky a)'!P$37</f>
        <v>0.011518533333333334</v>
      </c>
      <c r="Q30" s="797">
        <f t="shared" si="8"/>
        <v>1.4848160711222704</v>
      </c>
      <c r="R30" s="800"/>
      <c r="S30" s="797">
        <f>'Porovnání s r-1 (částky a)'!S30/'Porovnání s r-1 (částky a)'!S$37</f>
        <v>0.00281331183399415</v>
      </c>
      <c r="T30" s="797">
        <f>'Porovnání s r-1 (částky a)'!T30/'Porovnání s r-1 (částky a)'!T$37</f>
        <v>0.002516450697231464</v>
      </c>
      <c r="U30" s="797">
        <f t="shared" si="9"/>
        <v>1.1179681911071357</v>
      </c>
      <c r="V30" s="748"/>
      <c r="W30" s="125" t="s">
        <v>411</v>
      </c>
      <c r="Z30"/>
      <c r="AA30"/>
    </row>
    <row r="31" spans="1:27" s="6" customFormat="1" ht="12.75" customHeight="1">
      <c r="A31" s="84"/>
      <c r="B31" s="751" t="s">
        <v>412</v>
      </c>
      <c r="C31" s="771">
        <f>'Porovnání s r-1 (částky a)'!C31/'Porovnání s r-1 (částky a)'!C$37</f>
        <v>0.017269382486424414</v>
      </c>
      <c r="D31" s="776">
        <f>'Porovnání s r-1 (částky a)'!D31/'Porovnání s r-1 (částky a)'!D$37</f>
        <v>0.017269629612269504</v>
      </c>
      <c r="E31" s="771">
        <f t="shared" si="5"/>
        <v>0.999985690147928</v>
      </c>
      <c r="F31" s="780"/>
      <c r="G31" s="785">
        <f>'Porovnání s r-1 (částky a)'!G31/'Porovnání s r-1 (částky a)'!G$37</f>
        <v>0.007760768842255549</v>
      </c>
      <c r="H31" s="776">
        <f>'Porovnání s r-1 (částky a)'!H31/'Porovnání s r-1 (částky a)'!H$37</f>
        <v>0.007761112325746205</v>
      </c>
      <c r="I31" s="788">
        <f t="shared" si="6"/>
        <v>0.9999557430074144</v>
      </c>
      <c r="J31" s="780"/>
      <c r="K31" s="776">
        <f>'Porovnání s r-1 (částky a)'!K31/'Porovnání s r-1 (částky a)'!K$37</f>
        <v>0</v>
      </c>
      <c r="L31" s="776">
        <f>'Porovnání s r-1 (částky a)'!L31/'Porovnání s r-1 (částky a)'!L$37</f>
        <v>0</v>
      </c>
      <c r="M31" s="776">
        <f t="shared" si="7"/>
        <v>0</v>
      </c>
      <c r="N31" s="766"/>
      <c r="O31" s="794">
        <f>'Porovnání s r-1 (částky a)'!O31/'Porovnání s r-1 (částky a)'!O$37</f>
        <v>0</v>
      </c>
      <c r="P31" s="797">
        <f>'Porovnání s r-1 (částky a)'!P31/'Porovnání s r-1 (částky a)'!P$37</f>
        <v>0</v>
      </c>
      <c r="Q31" s="797">
        <f t="shared" si="8"/>
        <v>0</v>
      </c>
      <c r="R31" s="800"/>
      <c r="S31" s="797">
        <f>'Porovnání s r-1 (částky a)'!S31/'Porovnání s r-1 (částky a)'!S$37</f>
        <v>0.013514264317640235</v>
      </c>
      <c r="T31" s="797">
        <f>'Porovnání s r-1 (částky a)'!T31/'Porovnání s r-1 (částky a)'!T$37</f>
        <v>0.013698869519965707</v>
      </c>
      <c r="U31" s="797">
        <f t="shared" si="9"/>
        <v>0.986524055721794</v>
      </c>
      <c r="V31" s="748"/>
      <c r="W31" s="125" t="s">
        <v>412</v>
      </c>
      <c r="Z31"/>
      <c r="AA31"/>
    </row>
    <row r="32" spans="1:27" s="6" customFormat="1" ht="12.75" customHeight="1">
      <c r="A32" s="85"/>
      <c r="B32" s="752" t="s">
        <v>413</v>
      </c>
      <c r="C32" s="772">
        <f>'Porovnání s r-1 (částky a)'!C32/'Porovnání s r-1 (částky a)'!C$37</f>
        <v>0.004854977342209078</v>
      </c>
      <c r="D32" s="777">
        <f>'Porovnání s r-1 (částky a)'!D32/'Porovnání s r-1 (částky a)'!D$37</f>
        <v>0.00485504683316107</v>
      </c>
      <c r="E32" s="772">
        <f t="shared" si="5"/>
        <v>0.9999856868626854</v>
      </c>
      <c r="F32" s="781"/>
      <c r="G32" s="786">
        <f>'Porovnání s r-1 (částky a)'!G32/'Porovnání s r-1 (částky a)'!G$37</f>
        <v>0.003199614788663038</v>
      </c>
      <c r="H32" s="777">
        <f>'Porovnání s r-1 (částky a)'!H32/'Porovnání s r-1 (částky a)'!H$37</f>
        <v>0.0031997568360532603</v>
      </c>
      <c r="I32" s="789">
        <f t="shared" si="6"/>
        <v>0.9999556068171738</v>
      </c>
      <c r="J32" s="781"/>
      <c r="K32" s="777">
        <f>'Porovnání s r-1 (částky a)'!K32/'Porovnání s r-1 (částky a)'!K$37</f>
        <v>0</v>
      </c>
      <c r="L32" s="777">
        <f>'Porovnání s r-1 (částky a)'!L32/'Porovnání s r-1 (částky a)'!L$37</f>
        <v>0</v>
      </c>
      <c r="M32" s="777">
        <f t="shared" si="7"/>
        <v>0</v>
      </c>
      <c r="N32" s="767"/>
      <c r="O32" s="795">
        <f>'Porovnání s r-1 (částky a)'!O32/'Porovnání s r-1 (částky a)'!O$37</f>
        <v>0</v>
      </c>
      <c r="P32" s="798">
        <f>'Porovnání s r-1 (částky a)'!P32/'Porovnání s r-1 (částky a)'!P$37</f>
        <v>0</v>
      </c>
      <c r="Q32" s="798">
        <f t="shared" si="8"/>
        <v>0</v>
      </c>
      <c r="R32" s="801"/>
      <c r="S32" s="798">
        <f>'Porovnání s r-1 (částky a)'!S32/'Porovnání s r-1 (částky a)'!S$37</f>
        <v>0.004093936675457117</v>
      </c>
      <c r="T32" s="798">
        <f>'Porovnání s r-1 (částky a)'!T32/'Porovnání s r-1 (částky a)'!T$37</f>
        <v>0.004134595594169976</v>
      </c>
      <c r="U32" s="798">
        <f t="shared" si="9"/>
        <v>0.9901661679390868</v>
      </c>
      <c r="V32" s="749"/>
      <c r="W32" s="126" t="s">
        <v>413</v>
      </c>
      <c r="Z32"/>
      <c r="AA32"/>
    </row>
    <row r="33" spans="1:25" ht="12.75" customHeight="1">
      <c r="A33" s="127" t="s">
        <v>414</v>
      </c>
      <c r="B33" s="128" t="s">
        <v>415</v>
      </c>
      <c r="C33" s="769">
        <f>'Porovnání s r-1 (částky a)'!C33/'Porovnání s r-1 (částky a)'!C$37</f>
        <v>0.026164743587082488</v>
      </c>
      <c r="D33" s="774">
        <f>'Porovnání s r-1 (částky a)'!D33/'Porovnání s r-1 (částky a)'!D$37</f>
        <v>0.026165117775388526</v>
      </c>
      <c r="E33" s="130">
        <f t="shared" si="5"/>
        <v>0.9999856989634348</v>
      </c>
      <c r="F33" s="19"/>
      <c r="G33" s="783">
        <f>'Porovnání s r-1 (částky a)'!G33/'Porovnání s r-1 (částky a)'!G$37</f>
        <v>0</v>
      </c>
      <c r="H33" s="774">
        <f>'Porovnání s r-1 (částky a)'!H33/'Porovnání s r-1 (částky a)'!H$37</f>
        <v>0</v>
      </c>
      <c r="I33" s="132">
        <f t="shared" si="6"/>
        <v>0</v>
      </c>
      <c r="J33" s="19"/>
      <c r="K33" s="791">
        <f>'Porovnání s r-1 (částky a)'!K33/'Porovnání s r-1 (částky a)'!K$37</f>
        <v>0</v>
      </c>
      <c r="L33" s="774">
        <f>'Porovnání s r-1 (částky a)'!L33/'Porovnání s r-1 (částky a)'!L$37</f>
        <v>0</v>
      </c>
      <c r="M33" s="134">
        <f t="shared" si="7"/>
        <v>0</v>
      </c>
      <c r="N33" s="19"/>
      <c r="O33" s="774">
        <f>'Porovnání s r-1 (částky a)'!O33/'Porovnání s r-1 (částky a)'!O$37</f>
        <v>0.041299582209709126</v>
      </c>
      <c r="P33" s="774">
        <f>'Porovnání s r-1 (částky a)'!P33/'Porovnání s r-1 (částky a)'!P$37</f>
        <v>0.046773826666666664</v>
      </c>
      <c r="Q33" s="136">
        <f t="shared" si="8"/>
        <v>0.8829635108546987</v>
      </c>
      <c r="R33" s="19"/>
      <c r="S33" s="774">
        <f>'Porovnání s r-1 (částky a)'!S33/'Porovnání s r-1 (částky a)'!S$37</f>
        <v>0.018484127500163056</v>
      </c>
      <c r="T33" s="774">
        <f>'Porovnání s r-1 (částky a)'!T33/'Porovnání s r-1 (částky a)'!T$37</f>
        <v>0.018894437250225268</v>
      </c>
      <c r="U33" s="136">
        <f t="shared" si="9"/>
        <v>0.9782840978734458</v>
      </c>
      <c r="V33" s="127" t="s">
        <v>414</v>
      </c>
      <c r="W33" s="138" t="s">
        <v>415</v>
      </c>
      <c r="Y33" s="11"/>
    </row>
    <row r="34" spans="1:25" ht="12.75" customHeight="1">
      <c r="A34" s="13" t="s">
        <v>416</v>
      </c>
      <c r="B34" s="27" t="s">
        <v>417</v>
      </c>
      <c r="C34" s="139">
        <f>'Porovnání s r-1 (částky a)'!C34/'Porovnání s r-1 (částky a)'!C$37</f>
        <v>0</v>
      </c>
      <c r="D34" s="17">
        <f>'Porovnání s r-1 (částky a)'!D34/'Porovnání s r-1 (částky a)'!D$37</f>
        <v>0</v>
      </c>
      <c r="E34" s="104">
        <f t="shared" si="5"/>
        <v>0</v>
      </c>
      <c r="F34" s="19"/>
      <c r="G34" s="140">
        <f>'Porovnání s r-1 (částky a)'!G34/'Porovnání s r-1 (částky a)'!G$37</f>
        <v>0</v>
      </c>
      <c r="H34" s="17">
        <f>'Porovnání s r-1 (částky a)'!H34/'Porovnání s r-1 (částky a)'!H$37</f>
        <v>0</v>
      </c>
      <c r="I34" s="106">
        <f t="shared" si="6"/>
        <v>0</v>
      </c>
      <c r="J34" s="19"/>
      <c r="K34" s="141">
        <f>'Porovnání s r-1 (částky a)'!K34/'Porovnání s r-1 (částky a)'!K$37</f>
        <v>0</v>
      </c>
      <c r="L34" s="17">
        <f>'Porovnání s r-1 (částky a)'!L34/'Porovnání s r-1 (částky a)'!L$37</f>
        <v>0</v>
      </c>
      <c r="M34" s="108">
        <f t="shared" si="7"/>
        <v>0</v>
      </c>
      <c r="N34" s="19"/>
      <c r="O34" s="17">
        <f>'Porovnání s r-1 (částky a)'!O34/'Porovnání s r-1 (částky a)'!O$37</f>
        <v>0</v>
      </c>
      <c r="P34" s="17">
        <f>'Porovnání s r-1 (částky a)'!P34/'Porovnání s r-1 (částky a)'!P$37</f>
        <v>0</v>
      </c>
      <c r="Q34" s="110">
        <f t="shared" si="8"/>
        <v>0</v>
      </c>
      <c r="R34" s="19"/>
      <c r="S34" s="17">
        <f>'Porovnání s r-1 (částky a)'!S34/'Porovnání s r-1 (částky a)'!S$37</f>
        <v>0</v>
      </c>
      <c r="T34" s="17">
        <f>'Porovnání s r-1 (částky a)'!T34/'Porovnání s r-1 (částky a)'!T$37</f>
        <v>0</v>
      </c>
      <c r="U34" s="110">
        <f t="shared" si="9"/>
        <v>0</v>
      </c>
      <c r="V34" s="13" t="s">
        <v>416</v>
      </c>
      <c r="W34" s="14" t="s">
        <v>417</v>
      </c>
      <c r="Y34" s="11"/>
    </row>
    <row r="35" spans="1:25" ht="12.75" customHeight="1">
      <c r="A35" s="13" t="s">
        <v>570</v>
      </c>
      <c r="B35" s="27" t="s">
        <v>571</v>
      </c>
      <c r="C35" s="139">
        <f>'Porovnání s r-1 (částky a)'!C35/'Porovnání s r-1 (částky a)'!C$37</f>
        <v>0</v>
      </c>
      <c r="D35" s="17">
        <f>'Porovnání s r-1 (částky a)'!D35/'Porovnání s r-1 (částky a)'!D$37</f>
        <v>0</v>
      </c>
      <c r="E35" s="104">
        <f t="shared" si="5"/>
        <v>0</v>
      </c>
      <c r="F35" s="19"/>
      <c r="G35" s="140">
        <f>'Porovnání s r-1 (částky a)'!G35/'Porovnání s r-1 (částky a)'!G$37</f>
        <v>0</v>
      </c>
      <c r="H35" s="17">
        <f>'Porovnání s r-1 (částky a)'!H35/'Porovnání s r-1 (částky a)'!H$37</f>
        <v>0</v>
      </c>
      <c r="I35" s="106">
        <f t="shared" si="6"/>
        <v>0</v>
      </c>
      <c r="J35" s="19"/>
      <c r="K35" s="141">
        <f>'Porovnání s r-1 (částky a)'!K35/'Porovnání s r-1 (částky a)'!K$37</f>
        <v>0</v>
      </c>
      <c r="L35" s="17">
        <f>'Porovnání s r-1 (částky a)'!L35/'Porovnání s r-1 (částky a)'!L$37</f>
        <v>0</v>
      </c>
      <c r="M35" s="108">
        <f t="shared" si="7"/>
        <v>0</v>
      </c>
      <c r="N35" s="19"/>
      <c r="O35" s="17">
        <f>'Porovnání s r-1 (částky a)'!O35/'Porovnání s r-1 (částky a)'!O$37</f>
        <v>0.03806760498361464</v>
      </c>
      <c r="P35" s="17">
        <f>'Porovnání s r-1 (částky a)'!P35/'Porovnání s r-1 (částky a)'!P$37</f>
        <v>0.045052633333333335</v>
      </c>
      <c r="Q35" s="110">
        <f t="shared" si="8"/>
        <v>0.8449584889291999</v>
      </c>
      <c r="R35" s="19"/>
      <c r="S35" s="17">
        <f>'Porovnání s r-1 (částky a)'!S35/'Porovnání s r-1 (částky a)'!S$37</f>
        <v>0.0013020656156438172</v>
      </c>
      <c r="T35" s="17">
        <f>'Porovnání s r-1 (částky a)'!T35/'Porovnání s r-1 (částky a)'!T$37</f>
        <v>0.001361371776839741</v>
      </c>
      <c r="U35" s="110">
        <f t="shared" si="9"/>
        <v>0.9564364692989332</v>
      </c>
      <c r="V35" s="13" t="s">
        <v>570</v>
      </c>
      <c r="W35" s="14" t="s">
        <v>571</v>
      </c>
      <c r="Y35" s="11"/>
    </row>
    <row r="36" spans="1:25" ht="12.75" customHeight="1">
      <c r="A36" s="13" t="s">
        <v>649</v>
      </c>
      <c r="B36" s="27" t="s">
        <v>410</v>
      </c>
      <c r="C36" s="139">
        <f>'Porovnání s r-1 (částky a)'!C36/'Porovnání s r-1 (částky a)'!C$37</f>
        <v>0.005343733492465126</v>
      </c>
      <c r="D36" s="17">
        <f>'Porovnání s r-1 (částky a)'!D36/'Porovnání s r-1 (částky a)'!D$37</f>
        <v>0.005343809773255423</v>
      </c>
      <c r="E36" s="104">
        <f t="shared" si="5"/>
        <v>0.9999857253918957</v>
      </c>
      <c r="F36" s="19"/>
      <c r="G36" s="140">
        <f>'Porovnání s r-1 (částky a)'!G36/'Porovnání s r-1 (částky a)'!G$37</f>
        <v>0.008728973810757108</v>
      </c>
      <c r="H36" s="17">
        <f>'Porovnání s r-1 (částky a)'!H36/'Porovnání s r-1 (částky a)'!H$37</f>
        <v>0.008729360257223316</v>
      </c>
      <c r="I36" s="106">
        <f t="shared" si="6"/>
        <v>0.9999557302648968</v>
      </c>
      <c r="J36" s="19"/>
      <c r="K36" s="141">
        <f>'Porovnání s r-1 (částky a)'!K36/'Porovnání s r-1 (částky a)'!K$37</f>
        <v>0</v>
      </c>
      <c r="L36" s="17">
        <f>'Porovnání s r-1 (částky a)'!L36/'Porovnání s r-1 (částky a)'!L$37</f>
        <v>0</v>
      </c>
      <c r="M36" s="108">
        <f t="shared" si="7"/>
        <v>0</v>
      </c>
      <c r="N36" s="19"/>
      <c r="O36" s="17">
        <f>'Porovnání s r-1 (částky a)'!O36/'Porovnání s r-1 (částky a)'!O$37</f>
        <v>0.0003939095984114043</v>
      </c>
      <c r="P36" s="17">
        <f>'Porovnání s r-1 (částky a)'!P36/'Porovnání s r-1 (částky a)'!P$37</f>
        <v>0.00047706666666666664</v>
      </c>
      <c r="Q36" s="110">
        <f t="shared" si="8"/>
        <v>0.8256908854347492</v>
      </c>
      <c r="R36" s="19"/>
      <c r="S36" s="17">
        <f>'Porovnání s r-1 (částky a)'!S36/'Porovnání s r-1 (částky a)'!S$37</f>
        <v>0.006026980725120516</v>
      </c>
      <c r="T36" s="17">
        <f>'Porovnání s r-1 (částky a)'!T36/'Porovnání s r-1 (částky a)'!T$37</f>
        <v>0.006015171627986009</v>
      </c>
      <c r="U36" s="110">
        <f t="shared" si="9"/>
        <v>1.0019632186519107</v>
      </c>
      <c r="V36" s="13" t="s">
        <v>649</v>
      </c>
      <c r="W36" s="14" t="s">
        <v>410</v>
      </c>
      <c r="Y36" s="11"/>
    </row>
    <row r="37" spans="1:25" ht="12.75" customHeight="1">
      <c r="A37" s="15" t="s">
        <v>434</v>
      </c>
      <c r="B37" s="27"/>
      <c r="C37" s="139">
        <f>'Porovnání s r-1 (částky a)'!C37/'Porovnání s r-1 (částky a)'!C$37</f>
        <v>1</v>
      </c>
      <c r="D37" s="17">
        <f>'Porovnání s r-1 (částky a)'!D37/'Porovnání s r-1 (částky a)'!D$37</f>
        <v>1</v>
      </c>
      <c r="E37" s="104">
        <f>IF(D37=0,0,C37/D37)</f>
        <v>1</v>
      </c>
      <c r="F37" s="19"/>
      <c r="G37" s="140">
        <f>'Porovnání s r-1 (částky a)'!G37/'Porovnání s r-1 (částky a)'!G$37</f>
        <v>1</v>
      </c>
      <c r="H37" s="17">
        <f>'Porovnání s r-1 (částky a)'!H37/'Porovnání s r-1 (částky a)'!H$37</f>
        <v>1</v>
      </c>
      <c r="I37" s="106">
        <f>IF(H37=0,0,G37/H37)</f>
        <v>1</v>
      </c>
      <c r="J37" s="19"/>
      <c r="K37" s="141">
        <f>'Porovnání s r-1 (částky a)'!K37/'Porovnání s r-1 (částky a)'!K$37</f>
        <v>1</v>
      </c>
      <c r="L37" s="17">
        <f>'Porovnání s r-1 (částky a)'!L37/'Porovnání s r-1 (částky a)'!L$37</f>
        <v>1</v>
      </c>
      <c r="M37" s="108">
        <f>IF(L37=0,0,K37/L37)</f>
        <v>1</v>
      </c>
      <c r="N37" s="19"/>
      <c r="O37" s="17">
        <f>'Porovnání s r-1 (částky a)'!O37/'Porovnání s r-1 (částky a)'!O$37</f>
        <v>1</v>
      </c>
      <c r="P37" s="17">
        <f>'Porovnání s r-1 (částky a)'!P37/'Porovnání s r-1 (částky a)'!P$37</f>
        <v>1</v>
      </c>
      <c r="Q37" s="110">
        <f>IF(P37=0,0,O37/P37)</f>
        <v>1</v>
      </c>
      <c r="R37" s="19"/>
      <c r="S37" s="17">
        <f>'Porovnání s r-1 (částky a)'!S37/'Porovnání s r-1 (částky a)'!S$37</f>
        <v>1</v>
      </c>
      <c r="T37" s="17">
        <f>'Porovnání s r-1 (částky a)'!T37/'Porovnání s r-1 (částky a)'!T$37</f>
        <v>1</v>
      </c>
      <c r="U37" s="110">
        <f>IF(T37=0,0,S37/T37)</f>
        <v>1</v>
      </c>
      <c r="V37" s="15" t="s">
        <v>434</v>
      </c>
      <c r="W37" s="14"/>
      <c r="Y37" s="11"/>
    </row>
    <row r="38" spans="3:19" ht="9.75" customHeight="1">
      <c r="C38" s="406"/>
      <c r="G38" s="406"/>
      <c r="K38" s="406"/>
      <c r="S38" s="406"/>
    </row>
    <row r="39" ht="9.75" customHeight="1">
      <c r="S39" s="7"/>
    </row>
    <row r="40" ht="9.75" customHeight="1">
      <c r="S40" s="7"/>
    </row>
    <row r="43" ht="9.75" customHeight="1">
      <c r="S43" s="7"/>
    </row>
    <row r="44" ht="9.75" customHeight="1">
      <c r="E44" s="7"/>
    </row>
  </sheetData>
  <sheetProtection/>
  <mergeCells count="7">
    <mergeCell ref="V2:W3"/>
    <mergeCell ref="A2:B3"/>
    <mergeCell ref="C2:E2"/>
    <mergeCell ref="G2:I2"/>
    <mergeCell ref="K2:M2"/>
    <mergeCell ref="O2:Q2"/>
    <mergeCell ref="S2:U2"/>
  </mergeCells>
  <conditionalFormatting sqref="U4:U23 U26:U32">
    <cfRule type="cellIs" priority="9" dxfId="26" operator="lessThan" stopIfTrue="1">
      <formula>0</formula>
    </cfRule>
  </conditionalFormatting>
  <conditionalFormatting sqref="Q4:Q23 M4:M23 I4:I23 E4:E23 E26:E32 I26:I32 M26:M32 Q26:Q32">
    <cfRule type="cellIs" priority="8" dxfId="26" operator="lessThan" stopIfTrue="1">
      <formula>0</formula>
    </cfRule>
  </conditionalFormatting>
  <conditionalFormatting sqref="U24:U25">
    <cfRule type="cellIs" priority="7" dxfId="26" operator="lessThan" stopIfTrue="1">
      <formula>0</formula>
    </cfRule>
  </conditionalFormatting>
  <conditionalFormatting sqref="Q24:Q25 M24:M25 I24:I25 E24:E25">
    <cfRule type="cellIs" priority="6" dxfId="26" operator="lessThan" stopIfTrue="1">
      <formula>0</formula>
    </cfRule>
  </conditionalFormatting>
  <conditionalFormatting sqref="U33:U36">
    <cfRule type="cellIs" priority="5" dxfId="26" operator="lessThan" stopIfTrue="1">
      <formula>0</formula>
    </cfRule>
  </conditionalFormatting>
  <conditionalFormatting sqref="Q33:Q36 M33:M36 I33:I36 E33:E36">
    <cfRule type="cellIs" priority="4" dxfId="26" operator="lessThan" stopIfTrue="1">
      <formula>0</formula>
    </cfRule>
  </conditionalFormatting>
  <conditionalFormatting sqref="U37">
    <cfRule type="cellIs" priority="3" dxfId="26" operator="lessThan" stopIfTrue="1">
      <formula>0</formula>
    </cfRule>
  </conditionalFormatting>
  <conditionalFormatting sqref="Q37 M37 I37 E37">
    <cfRule type="cellIs" priority="2" dxfId="26" operator="lessThan" stopIfTrue="1">
      <formula>0</formula>
    </cfRule>
  </conditionalFormatting>
  <conditionalFormatting sqref="E4:E37 I4:I37 M4:M37 Q4:Q37 U4:U37">
    <cfRule type="cellIs" priority="1" dxfId="26" operator="lessThan" stopIfTrue="1">
      <formula>1</formula>
    </cfRule>
  </conditionalFormatting>
  <printOptions horizontalCentered="1"/>
  <pageMargins left="0" right="0" top="1.220472440944882" bottom="0.5118110236220472" header="0.5118110236220472" footer="0.2362204724409449"/>
  <pageSetup fitToHeight="1" fitToWidth="1" horizontalDpi="600" verticalDpi="600" orientation="landscape" paperSize="9" scale="69" r:id="rId3"/>
  <headerFooter alignWithMargins="0">
    <oddHeader>&amp;C&amp;16&amp;A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000"/>
  <sheetViews>
    <sheetView zoomScalePageLayoutView="80" workbookViewId="0" topLeftCell="A1">
      <pane ySplit="11" topLeftCell="A687" activePane="bottomLeft" state="frozen"/>
      <selection pane="topLeft" activeCell="A53" sqref="A53"/>
      <selection pane="bottomLeft" activeCell="A53" sqref="A53"/>
    </sheetView>
  </sheetViews>
  <sheetFormatPr defaultColWidth="9.33203125" defaultRowHeight="10.5"/>
  <cols>
    <col min="1" max="1" width="14.33203125" style="0" customWidth="1"/>
    <col min="2" max="2" width="43.33203125" style="0" customWidth="1"/>
    <col min="3" max="3" width="14.33203125" style="0" customWidth="1"/>
    <col min="4" max="4" width="60.66015625" style="0" customWidth="1"/>
    <col min="5" max="13" width="14.33203125" style="0" customWidth="1"/>
  </cols>
  <sheetData>
    <row r="1" ht="18">
      <c r="A1" t="s">
        <v>657</v>
      </c>
    </row>
    <row r="2" ht="9.75">
      <c r="A2" s="266"/>
    </row>
    <row r="3" ht="14.25">
      <c r="A3" s="267" t="s">
        <v>579</v>
      </c>
    </row>
    <row r="4" ht="14.25">
      <c r="A4" s="267" t="s">
        <v>580</v>
      </c>
    </row>
    <row r="5" ht="14.25">
      <c r="A5" s="266" t="s">
        <v>581</v>
      </c>
    </row>
    <row r="7" spans="1:13" ht="30" customHeight="1">
      <c r="A7" s="1155" t="s">
        <v>582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6"/>
    </row>
    <row r="9" spans="1:13" ht="10.5" thickBot="1">
      <c r="A9" s="1157" t="s">
        <v>583</v>
      </c>
      <c r="B9" s="1156"/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</row>
    <row r="10" spans="1:13" ht="15" thickBot="1">
      <c r="A10" s="1158" t="s">
        <v>124</v>
      </c>
      <c r="B10" s="1159"/>
      <c r="C10" s="1160" t="s">
        <v>125</v>
      </c>
      <c r="D10" s="1161"/>
      <c r="E10" s="1159"/>
      <c r="F10" s="1162" t="s">
        <v>101</v>
      </c>
      <c r="G10" s="1160" t="s">
        <v>584</v>
      </c>
      <c r="H10" s="1161"/>
      <c r="I10" s="1161"/>
      <c r="J10" s="1161"/>
      <c r="K10" s="1161"/>
      <c r="L10" s="1161"/>
      <c r="M10" s="1164"/>
    </row>
    <row r="11" spans="1:13" ht="29.25" thickBot="1">
      <c r="A11" s="268" t="s">
        <v>128</v>
      </c>
      <c r="B11" s="269" t="s">
        <v>129</v>
      </c>
      <c r="C11" s="269" t="s">
        <v>128</v>
      </c>
      <c r="D11" s="269" t="s">
        <v>129</v>
      </c>
      <c r="E11" s="269" t="s">
        <v>102</v>
      </c>
      <c r="F11" s="1163"/>
      <c r="G11" s="269" t="s">
        <v>103</v>
      </c>
      <c r="H11" s="269" t="s">
        <v>104</v>
      </c>
      <c r="I11" s="269" t="s">
        <v>105</v>
      </c>
      <c r="J11" s="269" t="s">
        <v>106</v>
      </c>
      <c r="K11" s="269" t="s">
        <v>5</v>
      </c>
      <c r="L11" s="269" t="s">
        <v>126</v>
      </c>
      <c r="M11" s="270" t="s">
        <v>127</v>
      </c>
    </row>
    <row r="12" spans="1:13" ht="14.25">
      <c r="A12" s="271">
        <v>1100</v>
      </c>
      <c r="B12" s="272" t="s">
        <v>585</v>
      </c>
      <c r="C12" s="272"/>
      <c r="D12" s="272"/>
      <c r="E12" s="272"/>
      <c r="F12" s="1054"/>
      <c r="G12" s="272"/>
      <c r="H12" s="272"/>
      <c r="I12" s="272"/>
      <c r="J12" s="272"/>
      <c r="K12" s="272"/>
      <c r="L12" s="272"/>
      <c r="M12" s="273"/>
    </row>
    <row r="13" spans="1:13" ht="14.25">
      <c r="A13" s="274">
        <v>11110</v>
      </c>
      <c r="B13" s="275" t="s">
        <v>117</v>
      </c>
      <c r="C13" s="275" t="s">
        <v>130</v>
      </c>
      <c r="D13" s="275" t="s">
        <v>131</v>
      </c>
      <c r="E13" s="276">
        <v>2.25</v>
      </c>
      <c r="F13" s="276" t="s">
        <v>132</v>
      </c>
      <c r="G13" s="276">
        <v>5</v>
      </c>
      <c r="H13" s="276">
        <v>2</v>
      </c>
      <c r="I13" s="276">
        <v>3</v>
      </c>
      <c r="J13" s="276">
        <v>0</v>
      </c>
      <c r="K13" s="276">
        <v>10</v>
      </c>
      <c r="L13" s="276">
        <v>8</v>
      </c>
      <c r="M13" s="277">
        <v>18</v>
      </c>
    </row>
    <row r="14" spans="1:13" ht="14.25">
      <c r="A14" s="278">
        <v>11110</v>
      </c>
      <c r="B14" s="279" t="s">
        <v>117</v>
      </c>
      <c r="C14" s="279" t="s">
        <v>130</v>
      </c>
      <c r="D14" s="279" t="s">
        <v>131</v>
      </c>
      <c r="E14" s="280">
        <v>2.25</v>
      </c>
      <c r="F14" s="280" t="s">
        <v>109</v>
      </c>
      <c r="G14" s="280">
        <v>0</v>
      </c>
      <c r="H14" s="280">
        <v>8</v>
      </c>
      <c r="I14" s="280">
        <v>50</v>
      </c>
      <c r="J14" s="280">
        <v>0</v>
      </c>
      <c r="K14" s="280">
        <v>58</v>
      </c>
      <c r="L14" s="280">
        <v>50</v>
      </c>
      <c r="M14" s="281">
        <v>112.5</v>
      </c>
    </row>
    <row r="15" spans="1:13" ht="14.25">
      <c r="A15" s="274">
        <v>11110</v>
      </c>
      <c r="B15" s="275" t="s">
        <v>117</v>
      </c>
      <c r="C15" s="275" t="s">
        <v>95</v>
      </c>
      <c r="D15" s="275" t="s">
        <v>18</v>
      </c>
      <c r="E15" s="276">
        <v>2.25</v>
      </c>
      <c r="F15" s="276" t="s">
        <v>132</v>
      </c>
      <c r="G15" s="276">
        <v>80</v>
      </c>
      <c r="H15" s="276">
        <v>9</v>
      </c>
      <c r="I15" s="276">
        <v>82</v>
      </c>
      <c r="J15" s="276">
        <v>3</v>
      </c>
      <c r="K15" s="276">
        <v>174</v>
      </c>
      <c r="L15" s="276">
        <v>163.5</v>
      </c>
      <c r="M15" s="277">
        <v>367.88</v>
      </c>
    </row>
    <row r="16" spans="1:13" ht="14.25">
      <c r="A16" s="278">
        <v>11110</v>
      </c>
      <c r="B16" s="279" t="s">
        <v>117</v>
      </c>
      <c r="C16" s="279" t="s">
        <v>95</v>
      </c>
      <c r="D16" s="279" t="s">
        <v>18</v>
      </c>
      <c r="E16" s="280">
        <v>2.25</v>
      </c>
      <c r="F16" s="280" t="s">
        <v>109</v>
      </c>
      <c r="G16" s="280">
        <v>0</v>
      </c>
      <c r="H16" s="280">
        <v>52</v>
      </c>
      <c r="I16" s="280">
        <v>240</v>
      </c>
      <c r="J16" s="280">
        <v>8</v>
      </c>
      <c r="K16" s="280">
        <v>300</v>
      </c>
      <c r="L16" s="280">
        <v>244</v>
      </c>
      <c r="M16" s="281">
        <v>549</v>
      </c>
    </row>
    <row r="17" spans="1:13" ht="14.25">
      <c r="A17" s="274">
        <v>11110</v>
      </c>
      <c r="B17" s="275" t="s">
        <v>117</v>
      </c>
      <c r="C17" s="275" t="s">
        <v>133</v>
      </c>
      <c r="D17" s="275" t="s">
        <v>134</v>
      </c>
      <c r="E17" s="276">
        <v>2.25</v>
      </c>
      <c r="F17" s="276" t="s">
        <v>132</v>
      </c>
      <c r="G17" s="276">
        <v>11</v>
      </c>
      <c r="H17" s="276">
        <v>2</v>
      </c>
      <c r="I17" s="276">
        <v>9</v>
      </c>
      <c r="J17" s="276">
        <v>1</v>
      </c>
      <c r="K17" s="276">
        <v>23</v>
      </c>
      <c r="L17" s="276">
        <v>20.5</v>
      </c>
      <c r="M17" s="277">
        <v>46.13</v>
      </c>
    </row>
    <row r="18" spans="1:13" ht="14.25">
      <c r="A18" s="278">
        <v>11110</v>
      </c>
      <c r="B18" s="279" t="s">
        <v>117</v>
      </c>
      <c r="C18" s="279" t="s">
        <v>133</v>
      </c>
      <c r="D18" s="279" t="s">
        <v>134</v>
      </c>
      <c r="E18" s="280">
        <v>2.25</v>
      </c>
      <c r="F18" s="280" t="s">
        <v>109</v>
      </c>
      <c r="G18" s="280">
        <v>0</v>
      </c>
      <c r="H18" s="280">
        <v>3</v>
      </c>
      <c r="I18" s="280">
        <v>25</v>
      </c>
      <c r="J18" s="280">
        <v>0</v>
      </c>
      <c r="K18" s="280">
        <v>28</v>
      </c>
      <c r="L18" s="280">
        <v>25</v>
      </c>
      <c r="M18" s="281">
        <v>56.25</v>
      </c>
    </row>
    <row r="19" spans="1:13" ht="14.25">
      <c r="A19" s="274">
        <v>11110</v>
      </c>
      <c r="B19" s="275" t="s">
        <v>117</v>
      </c>
      <c r="C19" s="275" t="s">
        <v>9</v>
      </c>
      <c r="D19" s="275" t="s">
        <v>10</v>
      </c>
      <c r="E19" s="276">
        <v>2.8</v>
      </c>
      <c r="F19" s="276" t="s">
        <v>110</v>
      </c>
      <c r="G19" s="276">
        <v>274</v>
      </c>
      <c r="H19" s="276">
        <v>3</v>
      </c>
      <c r="I19" s="276">
        <v>70</v>
      </c>
      <c r="J19" s="276">
        <v>0</v>
      </c>
      <c r="K19" s="276">
        <v>347</v>
      </c>
      <c r="L19" s="276">
        <v>344</v>
      </c>
      <c r="M19" s="277">
        <v>963.2</v>
      </c>
    </row>
    <row r="20" spans="1:13" ht="14.25">
      <c r="A20" s="278">
        <v>11110</v>
      </c>
      <c r="B20" s="279" t="s">
        <v>117</v>
      </c>
      <c r="C20" s="279" t="s">
        <v>9</v>
      </c>
      <c r="D20" s="279" t="s">
        <v>10</v>
      </c>
      <c r="E20" s="280">
        <v>2.8</v>
      </c>
      <c r="F20" s="280" t="s">
        <v>113</v>
      </c>
      <c r="G20" s="280">
        <v>0</v>
      </c>
      <c r="H20" s="280">
        <v>90</v>
      </c>
      <c r="I20" s="280">
        <v>1657</v>
      </c>
      <c r="J20" s="280">
        <v>12</v>
      </c>
      <c r="K20" s="280">
        <v>1759</v>
      </c>
      <c r="L20" s="280">
        <v>1663</v>
      </c>
      <c r="M20" s="281">
        <v>4656.4</v>
      </c>
    </row>
    <row r="21" spans="1:13" ht="14.25">
      <c r="A21" s="274">
        <v>11110</v>
      </c>
      <c r="B21" s="275" t="s">
        <v>117</v>
      </c>
      <c r="C21" s="275" t="s">
        <v>11</v>
      </c>
      <c r="D21" s="275" t="s">
        <v>12</v>
      </c>
      <c r="E21" s="276">
        <v>3.5</v>
      </c>
      <c r="F21" s="276" t="s">
        <v>110</v>
      </c>
      <c r="G21" s="276">
        <v>28</v>
      </c>
      <c r="H21" s="276">
        <v>0</v>
      </c>
      <c r="I21" s="276">
        <v>18</v>
      </c>
      <c r="J21" s="276">
        <v>0</v>
      </c>
      <c r="K21" s="276">
        <v>46</v>
      </c>
      <c r="L21" s="276">
        <v>46</v>
      </c>
      <c r="M21" s="277">
        <v>161</v>
      </c>
    </row>
    <row r="22" spans="1:13" ht="14.25">
      <c r="A22" s="278">
        <v>11110</v>
      </c>
      <c r="B22" s="279" t="s">
        <v>117</v>
      </c>
      <c r="C22" s="279" t="s">
        <v>11</v>
      </c>
      <c r="D22" s="279" t="s">
        <v>12</v>
      </c>
      <c r="E22" s="280">
        <v>3.5</v>
      </c>
      <c r="F22" s="280" t="s">
        <v>113</v>
      </c>
      <c r="G22" s="280">
        <v>0</v>
      </c>
      <c r="H22" s="280">
        <v>17</v>
      </c>
      <c r="I22" s="280">
        <v>190</v>
      </c>
      <c r="J22" s="280">
        <v>2</v>
      </c>
      <c r="K22" s="280">
        <v>209</v>
      </c>
      <c r="L22" s="280">
        <v>191</v>
      </c>
      <c r="M22" s="281">
        <v>668.5</v>
      </c>
    </row>
    <row r="23" spans="1:13" ht="14.25">
      <c r="A23" s="274">
        <v>11110</v>
      </c>
      <c r="B23" s="275" t="s">
        <v>117</v>
      </c>
      <c r="C23" s="275" t="s">
        <v>98</v>
      </c>
      <c r="D23" s="275" t="s">
        <v>18</v>
      </c>
      <c r="E23" s="276">
        <v>2.25</v>
      </c>
      <c r="F23" s="276" t="s">
        <v>116</v>
      </c>
      <c r="G23" s="276">
        <v>0</v>
      </c>
      <c r="H23" s="276">
        <v>3</v>
      </c>
      <c r="I23" s="276">
        <v>149</v>
      </c>
      <c r="J23" s="276">
        <v>1</v>
      </c>
      <c r="K23" s="276">
        <v>153</v>
      </c>
      <c r="L23" s="276">
        <v>149.5</v>
      </c>
      <c r="M23" s="277">
        <v>336.38</v>
      </c>
    </row>
    <row r="24" spans="1:13" ht="14.25">
      <c r="A24" s="278">
        <v>11110</v>
      </c>
      <c r="B24" s="279" t="s">
        <v>117</v>
      </c>
      <c r="C24" s="279" t="s">
        <v>98</v>
      </c>
      <c r="D24" s="279" t="s">
        <v>18</v>
      </c>
      <c r="E24" s="280">
        <v>2.25</v>
      </c>
      <c r="F24" s="280" t="s">
        <v>114</v>
      </c>
      <c r="G24" s="280">
        <v>0</v>
      </c>
      <c r="H24" s="280">
        <v>14</v>
      </c>
      <c r="I24" s="280">
        <v>197</v>
      </c>
      <c r="J24" s="280">
        <v>6</v>
      </c>
      <c r="K24" s="280">
        <v>217</v>
      </c>
      <c r="L24" s="280">
        <v>200</v>
      </c>
      <c r="M24" s="281">
        <v>450</v>
      </c>
    </row>
    <row r="25" spans="1:13" ht="14.25">
      <c r="A25" s="274">
        <v>11110</v>
      </c>
      <c r="B25" s="275" t="s">
        <v>117</v>
      </c>
      <c r="C25" s="275" t="s">
        <v>135</v>
      </c>
      <c r="D25" s="275" t="s">
        <v>136</v>
      </c>
      <c r="E25" s="276">
        <v>2.8</v>
      </c>
      <c r="F25" s="276" t="s">
        <v>119</v>
      </c>
      <c r="G25" s="276">
        <v>0</v>
      </c>
      <c r="H25" s="276">
        <v>2</v>
      </c>
      <c r="I25" s="276">
        <v>15</v>
      </c>
      <c r="J25" s="276">
        <v>0</v>
      </c>
      <c r="K25" s="276">
        <v>17</v>
      </c>
      <c r="L25" s="276">
        <v>15</v>
      </c>
      <c r="M25" s="277">
        <v>42</v>
      </c>
    </row>
    <row r="26" spans="1:13" ht="14.25">
      <c r="A26" s="278">
        <v>11110</v>
      </c>
      <c r="B26" s="279" t="s">
        <v>117</v>
      </c>
      <c r="C26" s="279" t="s">
        <v>135</v>
      </c>
      <c r="D26" s="279" t="s">
        <v>136</v>
      </c>
      <c r="E26" s="280">
        <v>2.8</v>
      </c>
      <c r="F26" s="280" t="s">
        <v>122</v>
      </c>
      <c r="G26" s="280">
        <v>0</v>
      </c>
      <c r="H26" s="280">
        <v>38</v>
      </c>
      <c r="I26" s="280">
        <v>37</v>
      </c>
      <c r="J26" s="280">
        <v>0</v>
      </c>
      <c r="K26" s="280">
        <v>75</v>
      </c>
      <c r="L26" s="280">
        <v>37</v>
      </c>
      <c r="M26" s="281">
        <v>103.6</v>
      </c>
    </row>
    <row r="27" spans="1:13" ht="14.25">
      <c r="A27" s="274">
        <v>11110</v>
      </c>
      <c r="B27" s="275" t="s">
        <v>117</v>
      </c>
      <c r="C27" s="275" t="s">
        <v>75</v>
      </c>
      <c r="D27" s="275" t="s">
        <v>76</v>
      </c>
      <c r="E27" s="276">
        <v>2.8</v>
      </c>
      <c r="F27" s="276" t="s">
        <v>119</v>
      </c>
      <c r="G27" s="276">
        <v>0</v>
      </c>
      <c r="H27" s="276">
        <v>0</v>
      </c>
      <c r="I27" s="276">
        <v>1</v>
      </c>
      <c r="J27" s="276">
        <v>0</v>
      </c>
      <c r="K27" s="276">
        <v>1</v>
      </c>
      <c r="L27" s="276">
        <v>1</v>
      </c>
      <c r="M27" s="277">
        <v>2.8</v>
      </c>
    </row>
    <row r="28" spans="1:13" ht="14.25">
      <c r="A28" s="278">
        <v>11110</v>
      </c>
      <c r="B28" s="279" t="s">
        <v>117</v>
      </c>
      <c r="C28" s="279" t="s">
        <v>75</v>
      </c>
      <c r="D28" s="279" t="s">
        <v>76</v>
      </c>
      <c r="E28" s="280">
        <v>2.8</v>
      </c>
      <c r="F28" s="280" t="s">
        <v>122</v>
      </c>
      <c r="G28" s="280">
        <v>0</v>
      </c>
      <c r="H28" s="280">
        <v>2</v>
      </c>
      <c r="I28" s="280">
        <v>0</v>
      </c>
      <c r="J28" s="280">
        <v>0</v>
      </c>
      <c r="K28" s="280">
        <v>2</v>
      </c>
      <c r="L28" s="280">
        <v>0</v>
      </c>
      <c r="M28" s="281">
        <v>0</v>
      </c>
    </row>
    <row r="29" spans="1:13" ht="14.25">
      <c r="A29" s="274">
        <v>11110</v>
      </c>
      <c r="B29" s="275" t="s">
        <v>117</v>
      </c>
      <c r="C29" s="275" t="s">
        <v>137</v>
      </c>
      <c r="D29" s="275" t="s">
        <v>138</v>
      </c>
      <c r="E29" s="276">
        <v>2.25</v>
      </c>
      <c r="F29" s="276" t="s">
        <v>119</v>
      </c>
      <c r="G29" s="276">
        <v>0</v>
      </c>
      <c r="H29" s="276">
        <v>0</v>
      </c>
      <c r="I29" s="276">
        <v>3</v>
      </c>
      <c r="J29" s="276">
        <v>0</v>
      </c>
      <c r="K29" s="276">
        <v>3</v>
      </c>
      <c r="L29" s="276">
        <v>3</v>
      </c>
      <c r="M29" s="277">
        <v>6.75</v>
      </c>
    </row>
    <row r="30" spans="1:13" ht="14.25">
      <c r="A30" s="278">
        <v>11110</v>
      </c>
      <c r="B30" s="279" t="s">
        <v>117</v>
      </c>
      <c r="C30" s="279" t="s">
        <v>137</v>
      </c>
      <c r="D30" s="279" t="s">
        <v>138</v>
      </c>
      <c r="E30" s="280">
        <v>2.25</v>
      </c>
      <c r="F30" s="280" t="s">
        <v>122</v>
      </c>
      <c r="G30" s="280">
        <v>0</v>
      </c>
      <c r="H30" s="280">
        <v>10</v>
      </c>
      <c r="I30" s="280">
        <v>18</v>
      </c>
      <c r="J30" s="280">
        <v>0</v>
      </c>
      <c r="K30" s="280">
        <v>28</v>
      </c>
      <c r="L30" s="280">
        <v>18</v>
      </c>
      <c r="M30" s="281">
        <v>40.5</v>
      </c>
    </row>
    <row r="31" spans="1:13" ht="14.25">
      <c r="A31" s="274">
        <v>11110</v>
      </c>
      <c r="B31" s="275" t="s">
        <v>117</v>
      </c>
      <c r="C31" s="275" t="s">
        <v>139</v>
      </c>
      <c r="D31" s="275" t="s">
        <v>140</v>
      </c>
      <c r="E31" s="276">
        <v>2.25</v>
      </c>
      <c r="F31" s="276" t="s">
        <v>119</v>
      </c>
      <c r="G31" s="276">
        <v>0</v>
      </c>
      <c r="H31" s="276">
        <v>0</v>
      </c>
      <c r="I31" s="276">
        <v>1</v>
      </c>
      <c r="J31" s="276">
        <v>0</v>
      </c>
      <c r="K31" s="276">
        <v>1</v>
      </c>
      <c r="L31" s="276">
        <v>1</v>
      </c>
      <c r="M31" s="277">
        <v>2.25</v>
      </c>
    </row>
    <row r="32" spans="1:13" ht="14.25">
      <c r="A32" s="278">
        <v>11110</v>
      </c>
      <c r="B32" s="279" t="s">
        <v>117</v>
      </c>
      <c r="C32" s="279" t="s">
        <v>139</v>
      </c>
      <c r="D32" s="279" t="s">
        <v>140</v>
      </c>
      <c r="E32" s="280">
        <v>2.25</v>
      </c>
      <c r="F32" s="280" t="s">
        <v>122</v>
      </c>
      <c r="G32" s="280">
        <v>0</v>
      </c>
      <c r="H32" s="280">
        <v>2</v>
      </c>
      <c r="I32" s="280">
        <v>7</v>
      </c>
      <c r="J32" s="280">
        <v>0</v>
      </c>
      <c r="K32" s="280">
        <v>9</v>
      </c>
      <c r="L32" s="280">
        <v>7</v>
      </c>
      <c r="M32" s="281">
        <v>15.75</v>
      </c>
    </row>
    <row r="33" spans="1:13" ht="14.25">
      <c r="A33" s="274">
        <v>11110</v>
      </c>
      <c r="B33" s="275" t="s">
        <v>117</v>
      </c>
      <c r="C33" s="275" t="s">
        <v>77</v>
      </c>
      <c r="D33" s="275" t="s">
        <v>78</v>
      </c>
      <c r="E33" s="276">
        <v>2.25</v>
      </c>
      <c r="F33" s="276" t="s">
        <v>119</v>
      </c>
      <c r="G33" s="276">
        <v>0</v>
      </c>
      <c r="H33" s="276">
        <v>1</v>
      </c>
      <c r="I33" s="276">
        <v>8</v>
      </c>
      <c r="J33" s="276">
        <v>0</v>
      </c>
      <c r="K33" s="276">
        <v>9</v>
      </c>
      <c r="L33" s="276">
        <v>8</v>
      </c>
      <c r="M33" s="277">
        <v>18</v>
      </c>
    </row>
    <row r="34" spans="1:13" ht="14.25">
      <c r="A34" s="278">
        <v>11110</v>
      </c>
      <c r="B34" s="279" t="s">
        <v>117</v>
      </c>
      <c r="C34" s="279" t="s">
        <v>77</v>
      </c>
      <c r="D34" s="279" t="s">
        <v>78</v>
      </c>
      <c r="E34" s="280">
        <v>2.25</v>
      </c>
      <c r="F34" s="280" t="s">
        <v>122</v>
      </c>
      <c r="G34" s="280">
        <v>0</v>
      </c>
      <c r="H34" s="280">
        <v>17</v>
      </c>
      <c r="I34" s="280">
        <v>29</v>
      </c>
      <c r="J34" s="280">
        <v>1</v>
      </c>
      <c r="K34" s="280">
        <v>47</v>
      </c>
      <c r="L34" s="280">
        <v>29.5</v>
      </c>
      <c r="M34" s="281">
        <v>66.38</v>
      </c>
    </row>
    <row r="35" spans="1:13" ht="14.25">
      <c r="A35" s="274">
        <v>11110</v>
      </c>
      <c r="B35" s="275" t="s">
        <v>117</v>
      </c>
      <c r="C35" s="275" t="s">
        <v>141</v>
      </c>
      <c r="D35" s="275" t="s">
        <v>142</v>
      </c>
      <c r="E35" s="276">
        <v>2.25</v>
      </c>
      <c r="F35" s="276" t="s">
        <v>122</v>
      </c>
      <c r="G35" s="276">
        <v>0</v>
      </c>
      <c r="H35" s="276">
        <v>1</v>
      </c>
      <c r="I35" s="276">
        <v>1</v>
      </c>
      <c r="J35" s="276">
        <v>0</v>
      </c>
      <c r="K35" s="276">
        <v>2</v>
      </c>
      <c r="L35" s="276">
        <v>1</v>
      </c>
      <c r="M35" s="277">
        <v>2.25</v>
      </c>
    </row>
    <row r="36" spans="1:13" ht="14.25">
      <c r="A36" s="278">
        <v>11110</v>
      </c>
      <c r="B36" s="279" t="s">
        <v>117</v>
      </c>
      <c r="C36" s="279" t="s">
        <v>143</v>
      </c>
      <c r="D36" s="279" t="s">
        <v>144</v>
      </c>
      <c r="E36" s="280">
        <v>2.25</v>
      </c>
      <c r="F36" s="280" t="s">
        <v>119</v>
      </c>
      <c r="G36" s="280">
        <v>0</v>
      </c>
      <c r="H36" s="280">
        <v>1</v>
      </c>
      <c r="I36" s="280">
        <v>1</v>
      </c>
      <c r="J36" s="280">
        <v>0</v>
      </c>
      <c r="K36" s="280">
        <v>2</v>
      </c>
      <c r="L36" s="280">
        <v>1</v>
      </c>
      <c r="M36" s="281">
        <v>2.25</v>
      </c>
    </row>
    <row r="37" spans="1:13" ht="14.25">
      <c r="A37" s="274">
        <v>11110</v>
      </c>
      <c r="B37" s="275" t="s">
        <v>117</v>
      </c>
      <c r="C37" s="275" t="s">
        <v>143</v>
      </c>
      <c r="D37" s="275" t="s">
        <v>144</v>
      </c>
      <c r="E37" s="276">
        <v>2.25</v>
      </c>
      <c r="F37" s="276" t="s">
        <v>122</v>
      </c>
      <c r="G37" s="276">
        <v>0</v>
      </c>
      <c r="H37" s="276">
        <v>2</v>
      </c>
      <c r="I37" s="276">
        <v>2</v>
      </c>
      <c r="J37" s="276">
        <v>0</v>
      </c>
      <c r="K37" s="276">
        <v>4</v>
      </c>
      <c r="L37" s="276">
        <v>2</v>
      </c>
      <c r="M37" s="277">
        <v>4.5</v>
      </c>
    </row>
    <row r="38" spans="1:13" ht="14.25">
      <c r="A38" s="278">
        <v>11110</v>
      </c>
      <c r="B38" s="279" t="s">
        <v>117</v>
      </c>
      <c r="C38" s="279" t="s">
        <v>145</v>
      </c>
      <c r="D38" s="279" t="s">
        <v>146</v>
      </c>
      <c r="E38" s="280">
        <v>1.65</v>
      </c>
      <c r="F38" s="280" t="s">
        <v>119</v>
      </c>
      <c r="G38" s="280">
        <v>0</v>
      </c>
      <c r="H38" s="280">
        <v>0</v>
      </c>
      <c r="I38" s="280">
        <v>2</v>
      </c>
      <c r="J38" s="280">
        <v>0</v>
      </c>
      <c r="K38" s="280">
        <v>2</v>
      </c>
      <c r="L38" s="280">
        <v>2</v>
      </c>
      <c r="M38" s="281">
        <v>3.3</v>
      </c>
    </row>
    <row r="39" spans="1:13" ht="14.25">
      <c r="A39" s="274">
        <v>11110</v>
      </c>
      <c r="B39" s="275" t="s">
        <v>117</v>
      </c>
      <c r="C39" s="275" t="s">
        <v>145</v>
      </c>
      <c r="D39" s="275" t="s">
        <v>146</v>
      </c>
      <c r="E39" s="276">
        <v>1.65</v>
      </c>
      <c r="F39" s="276" t="s">
        <v>122</v>
      </c>
      <c r="G39" s="276">
        <v>0</v>
      </c>
      <c r="H39" s="276">
        <v>18</v>
      </c>
      <c r="I39" s="276">
        <v>5</v>
      </c>
      <c r="J39" s="276">
        <v>0</v>
      </c>
      <c r="K39" s="276">
        <v>23</v>
      </c>
      <c r="L39" s="276">
        <v>5</v>
      </c>
      <c r="M39" s="277">
        <v>8.25</v>
      </c>
    </row>
    <row r="40" spans="1:13" ht="14.25">
      <c r="A40" s="278">
        <v>11110</v>
      </c>
      <c r="B40" s="279" t="s">
        <v>117</v>
      </c>
      <c r="C40" s="279" t="s">
        <v>13</v>
      </c>
      <c r="D40" s="279" t="s">
        <v>14</v>
      </c>
      <c r="E40" s="280">
        <v>2.8</v>
      </c>
      <c r="F40" s="280" t="s">
        <v>119</v>
      </c>
      <c r="G40" s="280">
        <v>0</v>
      </c>
      <c r="H40" s="280">
        <v>2</v>
      </c>
      <c r="I40" s="280">
        <v>10</v>
      </c>
      <c r="J40" s="280">
        <v>0</v>
      </c>
      <c r="K40" s="280">
        <v>12</v>
      </c>
      <c r="L40" s="280">
        <v>10</v>
      </c>
      <c r="M40" s="281">
        <v>28</v>
      </c>
    </row>
    <row r="41" spans="1:13" ht="14.25">
      <c r="A41" s="274">
        <v>11110</v>
      </c>
      <c r="B41" s="275" t="s">
        <v>117</v>
      </c>
      <c r="C41" s="275" t="s">
        <v>13</v>
      </c>
      <c r="D41" s="275" t="s">
        <v>14</v>
      </c>
      <c r="E41" s="276">
        <v>2.8</v>
      </c>
      <c r="F41" s="276" t="s">
        <v>122</v>
      </c>
      <c r="G41" s="276">
        <v>0</v>
      </c>
      <c r="H41" s="276">
        <v>62</v>
      </c>
      <c r="I41" s="276">
        <v>64</v>
      </c>
      <c r="J41" s="276">
        <v>0</v>
      </c>
      <c r="K41" s="276">
        <v>126</v>
      </c>
      <c r="L41" s="276">
        <v>64</v>
      </c>
      <c r="M41" s="277">
        <v>179.2</v>
      </c>
    </row>
    <row r="42" spans="1:13" ht="14.25">
      <c r="A42" s="278">
        <v>11110</v>
      </c>
      <c r="B42" s="279" t="s">
        <v>117</v>
      </c>
      <c r="C42" s="279" t="s">
        <v>15</v>
      </c>
      <c r="D42" s="279" t="s">
        <v>16</v>
      </c>
      <c r="E42" s="280">
        <v>2.25</v>
      </c>
      <c r="F42" s="280" t="s">
        <v>119</v>
      </c>
      <c r="G42" s="280">
        <v>0</v>
      </c>
      <c r="H42" s="280">
        <v>4</v>
      </c>
      <c r="I42" s="280">
        <v>19</v>
      </c>
      <c r="J42" s="280">
        <v>0</v>
      </c>
      <c r="K42" s="280">
        <v>23</v>
      </c>
      <c r="L42" s="280">
        <v>19</v>
      </c>
      <c r="M42" s="281">
        <v>42.75</v>
      </c>
    </row>
    <row r="43" spans="1:13" ht="14.25">
      <c r="A43" s="274">
        <v>11110</v>
      </c>
      <c r="B43" s="275" t="s">
        <v>117</v>
      </c>
      <c r="C43" s="275" t="s">
        <v>15</v>
      </c>
      <c r="D43" s="275" t="s">
        <v>16</v>
      </c>
      <c r="E43" s="276">
        <v>2.25</v>
      </c>
      <c r="F43" s="276" t="s">
        <v>122</v>
      </c>
      <c r="G43" s="276">
        <v>0</v>
      </c>
      <c r="H43" s="276">
        <v>91</v>
      </c>
      <c r="I43" s="276">
        <v>83</v>
      </c>
      <c r="J43" s="276">
        <v>1</v>
      </c>
      <c r="K43" s="276">
        <v>175</v>
      </c>
      <c r="L43" s="276">
        <v>83.5</v>
      </c>
      <c r="M43" s="277">
        <v>187.88</v>
      </c>
    </row>
    <row r="44" spans="1:13" ht="14.25">
      <c r="A44" s="278">
        <v>11110</v>
      </c>
      <c r="B44" s="279" t="s">
        <v>117</v>
      </c>
      <c r="C44" s="279" t="s">
        <v>147</v>
      </c>
      <c r="D44" s="279" t="s">
        <v>148</v>
      </c>
      <c r="E44" s="280">
        <v>2.8</v>
      </c>
      <c r="F44" s="280" t="s">
        <v>122</v>
      </c>
      <c r="G44" s="280">
        <v>0</v>
      </c>
      <c r="H44" s="280">
        <v>2</v>
      </c>
      <c r="I44" s="280">
        <v>0</v>
      </c>
      <c r="J44" s="280">
        <v>0</v>
      </c>
      <c r="K44" s="280">
        <v>2</v>
      </c>
      <c r="L44" s="280">
        <v>0</v>
      </c>
      <c r="M44" s="281">
        <v>0</v>
      </c>
    </row>
    <row r="45" spans="1:13" ht="14.25">
      <c r="A45" s="274">
        <v>11110</v>
      </c>
      <c r="B45" s="275" t="s">
        <v>117</v>
      </c>
      <c r="C45" s="275" t="s">
        <v>149</v>
      </c>
      <c r="D45" s="275" t="s">
        <v>150</v>
      </c>
      <c r="E45" s="276">
        <v>2.8</v>
      </c>
      <c r="F45" s="276" t="s">
        <v>119</v>
      </c>
      <c r="G45" s="276">
        <v>0</v>
      </c>
      <c r="H45" s="276">
        <v>0</v>
      </c>
      <c r="I45" s="276">
        <v>12</v>
      </c>
      <c r="J45" s="276">
        <v>0</v>
      </c>
      <c r="K45" s="276">
        <v>12</v>
      </c>
      <c r="L45" s="276">
        <v>12</v>
      </c>
      <c r="M45" s="277">
        <v>33.6</v>
      </c>
    </row>
    <row r="46" spans="1:13" ht="14.25">
      <c r="A46" s="278">
        <v>11110</v>
      </c>
      <c r="B46" s="279" t="s">
        <v>117</v>
      </c>
      <c r="C46" s="279" t="s">
        <v>149</v>
      </c>
      <c r="D46" s="279" t="s">
        <v>150</v>
      </c>
      <c r="E46" s="280">
        <v>2.8</v>
      </c>
      <c r="F46" s="280" t="s">
        <v>122</v>
      </c>
      <c r="G46" s="280">
        <v>0</v>
      </c>
      <c r="H46" s="280">
        <v>28</v>
      </c>
      <c r="I46" s="280">
        <v>33</v>
      </c>
      <c r="J46" s="280">
        <v>1</v>
      </c>
      <c r="K46" s="280">
        <v>62</v>
      </c>
      <c r="L46" s="280">
        <v>33.5</v>
      </c>
      <c r="M46" s="281">
        <v>93.8</v>
      </c>
    </row>
    <row r="47" spans="1:13" ht="14.25">
      <c r="A47" s="274">
        <v>11110</v>
      </c>
      <c r="B47" s="275" t="s">
        <v>117</v>
      </c>
      <c r="C47" s="275" t="s">
        <v>151</v>
      </c>
      <c r="D47" s="275" t="s">
        <v>152</v>
      </c>
      <c r="E47" s="276">
        <v>2.8</v>
      </c>
      <c r="F47" s="276" t="s">
        <v>119</v>
      </c>
      <c r="G47" s="276">
        <v>0</v>
      </c>
      <c r="H47" s="276">
        <v>0</v>
      </c>
      <c r="I47" s="276">
        <v>10</v>
      </c>
      <c r="J47" s="276">
        <v>0</v>
      </c>
      <c r="K47" s="276">
        <v>10</v>
      </c>
      <c r="L47" s="276">
        <v>10</v>
      </c>
      <c r="M47" s="277">
        <v>28</v>
      </c>
    </row>
    <row r="48" spans="1:13" ht="14.25">
      <c r="A48" s="278">
        <v>11110</v>
      </c>
      <c r="B48" s="279" t="s">
        <v>117</v>
      </c>
      <c r="C48" s="279" t="s">
        <v>151</v>
      </c>
      <c r="D48" s="279" t="s">
        <v>152</v>
      </c>
      <c r="E48" s="280">
        <v>2.8</v>
      </c>
      <c r="F48" s="280" t="s">
        <v>122</v>
      </c>
      <c r="G48" s="280">
        <v>0</v>
      </c>
      <c r="H48" s="280">
        <v>18</v>
      </c>
      <c r="I48" s="280">
        <v>36</v>
      </c>
      <c r="J48" s="280">
        <v>0</v>
      </c>
      <c r="K48" s="280">
        <v>54</v>
      </c>
      <c r="L48" s="280">
        <v>36</v>
      </c>
      <c r="M48" s="281">
        <v>100.8</v>
      </c>
    </row>
    <row r="49" spans="1:13" ht="14.25">
      <c r="A49" s="274">
        <v>11110</v>
      </c>
      <c r="B49" s="275" t="s">
        <v>117</v>
      </c>
      <c r="C49" s="275" t="s">
        <v>153</v>
      </c>
      <c r="D49" s="275" t="s">
        <v>154</v>
      </c>
      <c r="E49" s="276">
        <v>2.8</v>
      </c>
      <c r="F49" s="276" t="s">
        <v>122</v>
      </c>
      <c r="G49" s="276">
        <v>0</v>
      </c>
      <c r="H49" s="276">
        <v>14</v>
      </c>
      <c r="I49" s="276">
        <v>7</v>
      </c>
      <c r="J49" s="276">
        <v>0</v>
      </c>
      <c r="K49" s="276">
        <v>21</v>
      </c>
      <c r="L49" s="276">
        <v>7</v>
      </c>
      <c r="M49" s="277">
        <v>19.6</v>
      </c>
    </row>
    <row r="50" spans="1:13" ht="14.25">
      <c r="A50" s="278">
        <v>11110</v>
      </c>
      <c r="B50" s="279" t="s">
        <v>117</v>
      </c>
      <c r="C50" s="279" t="s">
        <v>155</v>
      </c>
      <c r="D50" s="279" t="s">
        <v>156</v>
      </c>
      <c r="E50" s="280">
        <v>1</v>
      </c>
      <c r="F50" s="280" t="s">
        <v>119</v>
      </c>
      <c r="G50" s="280">
        <v>0</v>
      </c>
      <c r="H50" s="280">
        <v>1</v>
      </c>
      <c r="I50" s="280">
        <v>3</v>
      </c>
      <c r="J50" s="280">
        <v>0</v>
      </c>
      <c r="K50" s="280">
        <v>4</v>
      </c>
      <c r="L50" s="280">
        <v>3</v>
      </c>
      <c r="M50" s="281">
        <v>3</v>
      </c>
    </row>
    <row r="51" spans="1:13" ht="14.25">
      <c r="A51" s="274">
        <v>11110</v>
      </c>
      <c r="B51" s="275" t="s">
        <v>117</v>
      </c>
      <c r="C51" s="275" t="s">
        <v>155</v>
      </c>
      <c r="D51" s="275" t="s">
        <v>156</v>
      </c>
      <c r="E51" s="276">
        <v>1</v>
      </c>
      <c r="F51" s="276" t="s">
        <v>122</v>
      </c>
      <c r="G51" s="276">
        <v>0</v>
      </c>
      <c r="H51" s="276">
        <v>5</v>
      </c>
      <c r="I51" s="276">
        <v>3</v>
      </c>
      <c r="J51" s="276">
        <v>0</v>
      </c>
      <c r="K51" s="276">
        <v>8</v>
      </c>
      <c r="L51" s="276">
        <v>3</v>
      </c>
      <c r="M51" s="277">
        <v>3</v>
      </c>
    </row>
    <row r="52" spans="1:13" ht="14.25">
      <c r="A52" s="278">
        <v>11110</v>
      </c>
      <c r="B52" s="279" t="s">
        <v>117</v>
      </c>
      <c r="C52" s="279" t="s">
        <v>157</v>
      </c>
      <c r="D52" s="279" t="s">
        <v>158</v>
      </c>
      <c r="E52" s="280">
        <v>2.8</v>
      </c>
      <c r="F52" s="280" t="s">
        <v>119</v>
      </c>
      <c r="G52" s="280">
        <v>0</v>
      </c>
      <c r="H52" s="280">
        <v>0</v>
      </c>
      <c r="I52" s="280">
        <v>7</v>
      </c>
      <c r="J52" s="280">
        <v>0</v>
      </c>
      <c r="K52" s="280">
        <v>7</v>
      </c>
      <c r="L52" s="280">
        <v>7</v>
      </c>
      <c r="M52" s="281">
        <v>19.6</v>
      </c>
    </row>
    <row r="53" spans="1:13" ht="14.25">
      <c r="A53" s="274">
        <v>11110</v>
      </c>
      <c r="B53" s="275" t="s">
        <v>117</v>
      </c>
      <c r="C53" s="275" t="s">
        <v>157</v>
      </c>
      <c r="D53" s="275" t="s">
        <v>158</v>
      </c>
      <c r="E53" s="276">
        <v>2.8</v>
      </c>
      <c r="F53" s="276" t="s">
        <v>122</v>
      </c>
      <c r="G53" s="276">
        <v>0</v>
      </c>
      <c r="H53" s="276">
        <v>14</v>
      </c>
      <c r="I53" s="276">
        <v>15</v>
      </c>
      <c r="J53" s="276">
        <v>0</v>
      </c>
      <c r="K53" s="276">
        <v>29</v>
      </c>
      <c r="L53" s="276">
        <v>15</v>
      </c>
      <c r="M53" s="277">
        <v>42</v>
      </c>
    </row>
    <row r="54" spans="1:13" ht="14.25">
      <c r="A54" s="278">
        <v>11110</v>
      </c>
      <c r="B54" s="279" t="s">
        <v>117</v>
      </c>
      <c r="C54" s="279" t="s">
        <v>159</v>
      </c>
      <c r="D54" s="279" t="s">
        <v>160</v>
      </c>
      <c r="E54" s="280">
        <v>1</v>
      </c>
      <c r="F54" s="280" t="s">
        <v>119</v>
      </c>
      <c r="G54" s="280">
        <v>0</v>
      </c>
      <c r="H54" s="280">
        <v>0</v>
      </c>
      <c r="I54" s="280">
        <v>3</v>
      </c>
      <c r="J54" s="280">
        <v>0</v>
      </c>
      <c r="K54" s="280">
        <v>3</v>
      </c>
      <c r="L54" s="280">
        <v>3</v>
      </c>
      <c r="M54" s="281">
        <v>3</v>
      </c>
    </row>
    <row r="55" spans="1:13" ht="14.25">
      <c r="A55" s="274">
        <v>11110</v>
      </c>
      <c r="B55" s="275" t="s">
        <v>117</v>
      </c>
      <c r="C55" s="275" t="s">
        <v>159</v>
      </c>
      <c r="D55" s="275" t="s">
        <v>160</v>
      </c>
      <c r="E55" s="276">
        <v>1</v>
      </c>
      <c r="F55" s="276" t="s">
        <v>122</v>
      </c>
      <c r="G55" s="276">
        <v>0</v>
      </c>
      <c r="H55" s="276">
        <v>7</v>
      </c>
      <c r="I55" s="276">
        <v>4</v>
      </c>
      <c r="J55" s="276">
        <v>0</v>
      </c>
      <c r="K55" s="276">
        <v>11</v>
      </c>
      <c r="L55" s="276">
        <v>4</v>
      </c>
      <c r="M55" s="277">
        <v>4</v>
      </c>
    </row>
    <row r="56" spans="1:13" ht="14.25">
      <c r="A56" s="278">
        <v>11110</v>
      </c>
      <c r="B56" s="279" t="s">
        <v>117</v>
      </c>
      <c r="C56" s="279" t="s">
        <v>161</v>
      </c>
      <c r="D56" s="279" t="s">
        <v>162</v>
      </c>
      <c r="E56" s="280">
        <v>2.25</v>
      </c>
      <c r="F56" s="280" t="s">
        <v>119</v>
      </c>
      <c r="G56" s="280">
        <v>0</v>
      </c>
      <c r="H56" s="280">
        <v>0</v>
      </c>
      <c r="I56" s="280">
        <v>1</v>
      </c>
      <c r="J56" s="280">
        <v>0</v>
      </c>
      <c r="K56" s="280">
        <v>1</v>
      </c>
      <c r="L56" s="280">
        <v>1</v>
      </c>
      <c r="M56" s="281">
        <v>2.25</v>
      </c>
    </row>
    <row r="57" spans="1:13" ht="14.25">
      <c r="A57" s="274">
        <v>11110</v>
      </c>
      <c r="B57" s="275" t="s">
        <v>117</v>
      </c>
      <c r="C57" s="275" t="s">
        <v>161</v>
      </c>
      <c r="D57" s="275" t="s">
        <v>162</v>
      </c>
      <c r="E57" s="276">
        <v>2.25</v>
      </c>
      <c r="F57" s="276" t="s">
        <v>122</v>
      </c>
      <c r="G57" s="276">
        <v>0</v>
      </c>
      <c r="H57" s="276">
        <v>10</v>
      </c>
      <c r="I57" s="276">
        <v>3</v>
      </c>
      <c r="J57" s="276">
        <v>0</v>
      </c>
      <c r="K57" s="276">
        <v>13</v>
      </c>
      <c r="L57" s="276">
        <v>3</v>
      </c>
      <c r="M57" s="277">
        <v>6.75</v>
      </c>
    </row>
    <row r="58" spans="1:13" ht="14.25">
      <c r="A58" s="278">
        <v>11110</v>
      </c>
      <c r="B58" s="279" t="s">
        <v>117</v>
      </c>
      <c r="C58" s="279" t="s">
        <v>17</v>
      </c>
      <c r="D58" s="279" t="s">
        <v>18</v>
      </c>
      <c r="E58" s="280">
        <v>2.25</v>
      </c>
      <c r="F58" s="280" t="s">
        <v>119</v>
      </c>
      <c r="G58" s="280">
        <v>0</v>
      </c>
      <c r="H58" s="280">
        <v>0</v>
      </c>
      <c r="I58" s="280">
        <v>5</v>
      </c>
      <c r="J58" s="280">
        <v>0</v>
      </c>
      <c r="K58" s="280">
        <v>5</v>
      </c>
      <c r="L58" s="280">
        <v>5</v>
      </c>
      <c r="M58" s="281">
        <v>11.25</v>
      </c>
    </row>
    <row r="59" spans="1:13" ht="14.25">
      <c r="A59" s="274">
        <v>11110</v>
      </c>
      <c r="B59" s="275" t="s">
        <v>117</v>
      </c>
      <c r="C59" s="275" t="s">
        <v>17</v>
      </c>
      <c r="D59" s="275" t="s">
        <v>18</v>
      </c>
      <c r="E59" s="276">
        <v>2.25</v>
      </c>
      <c r="F59" s="276" t="s">
        <v>122</v>
      </c>
      <c r="G59" s="276">
        <v>0</v>
      </c>
      <c r="H59" s="276">
        <v>5</v>
      </c>
      <c r="I59" s="276">
        <v>15</v>
      </c>
      <c r="J59" s="276">
        <v>1</v>
      </c>
      <c r="K59" s="276">
        <v>21</v>
      </c>
      <c r="L59" s="276">
        <v>15.5</v>
      </c>
      <c r="M59" s="277">
        <v>34.88</v>
      </c>
    </row>
    <row r="60" spans="1:13" ht="14.25">
      <c r="A60" s="278">
        <v>11110</v>
      </c>
      <c r="B60" s="279" t="s">
        <v>117</v>
      </c>
      <c r="C60" s="279" t="s">
        <v>19</v>
      </c>
      <c r="D60" s="279" t="s">
        <v>20</v>
      </c>
      <c r="E60" s="280">
        <v>1</v>
      </c>
      <c r="F60" s="280" t="s">
        <v>119</v>
      </c>
      <c r="G60" s="280">
        <v>0</v>
      </c>
      <c r="H60" s="280">
        <v>0</v>
      </c>
      <c r="I60" s="280">
        <v>11</v>
      </c>
      <c r="J60" s="280">
        <v>0</v>
      </c>
      <c r="K60" s="280">
        <v>11</v>
      </c>
      <c r="L60" s="280">
        <v>11</v>
      </c>
      <c r="M60" s="281">
        <v>11</v>
      </c>
    </row>
    <row r="61" spans="1:13" ht="14.25">
      <c r="A61" s="274">
        <v>11110</v>
      </c>
      <c r="B61" s="275" t="s">
        <v>117</v>
      </c>
      <c r="C61" s="275" t="s">
        <v>19</v>
      </c>
      <c r="D61" s="275" t="s">
        <v>20</v>
      </c>
      <c r="E61" s="276">
        <v>1</v>
      </c>
      <c r="F61" s="276" t="s">
        <v>122</v>
      </c>
      <c r="G61" s="276">
        <v>0</v>
      </c>
      <c r="H61" s="276">
        <v>39</v>
      </c>
      <c r="I61" s="276">
        <v>50</v>
      </c>
      <c r="J61" s="276">
        <v>0</v>
      </c>
      <c r="K61" s="276">
        <v>89</v>
      </c>
      <c r="L61" s="276">
        <v>50</v>
      </c>
      <c r="M61" s="277">
        <v>50</v>
      </c>
    </row>
    <row r="62" spans="1:13" ht="9.75">
      <c r="A62" s="282">
        <v>11110</v>
      </c>
      <c r="B62" s="283" t="s">
        <v>163</v>
      </c>
      <c r="C62" s="283"/>
      <c r="D62" s="283"/>
      <c r="E62" s="283"/>
      <c r="F62" s="284" t="s">
        <v>132</v>
      </c>
      <c r="G62" s="284">
        <v>96</v>
      </c>
      <c r="H62" s="284">
        <v>13</v>
      </c>
      <c r="I62" s="284">
        <v>94</v>
      </c>
      <c r="J62" s="284">
        <v>4</v>
      </c>
      <c r="K62" s="284">
        <v>207</v>
      </c>
      <c r="L62" s="545"/>
      <c r="M62" s="546"/>
    </row>
    <row r="63" spans="1:13" ht="9.75">
      <c r="A63" s="282">
        <v>11110</v>
      </c>
      <c r="B63" s="283" t="s">
        <v>163</v>
      </c>
      <c r="C63" s="283"/>
      <c r="D63" s="283"/>
      <c r="E63" s="283"/>
      <c r="F63" s="284" t="s">
        <v>109</v>
      </c>
      <c r="G63" s="284">
        <v>0</v>
      </c>
      <c r="H63" s="284">
        <v>63</v>
      </c>
      <c r="I63" s="284">
        <v>315</v>
      </c>
      <c r="J63" s="284">
        <v>8</v>
      </c>
      <c r="K63" s="284">
        <v>386</v>
      </c>
      <c r="L63" s="545"/>
      <c r="M63" s="546"/>
    </row>
    <row r="64" spans="1:13" ht="9.75">
      <c r="A64" s="282">
        <v>11110</v>
      </c>
      <c r="B64" s="283" t="s">
        <v>163</v>
      </c>
      <c r="C64" s="283"/>
      <c r="D64" s="283"/>
      <c r="E64" s="283"/>
      <c r="F64" s="284" t="s">
        <v>110</v>
      </c>
      <c r="G64" s="284">
        <v>302</v>
      </c>
      <c r="H64" s="284">
        <v>3</v>
      </c>
      <c r="I64" s="284">
        <v>88</v>
      </c>
      <c r="J64" s="284">
        <v>0</v>
      </c>
      <c r="K64" s="284">
        <v>393</v>
      </c>
      <c r="L64" s="545"/>
      <c r="M64" s="546"/>
    </row>
    <row r="65" spans="1:13" ht="9.75">
      <c r="A65" s="282">
        <v>11110</v>
      </c>
      <c r="B65" s="283" t="s">
        <v>163</v>
      </c>
      <c r="C65" s="283"/>
      <c r="D65" s="283"/>
      <c r="E65" s="283"/>
      <c r="F65" s="284" t="s">
        <v>113</v>
      </c>
      <c r="G65" s="284">
        <v>0</v>
      </c>
      <c r="H65" s="284">
        <v>107</v>
      </c>
      <c r="I65" s="284">
        <v>1847</v>
      </c>
      <c r="J65" s="284">
        <v>14</v>
      </c>
      <c r="K65" s="284">
        <v>1968</v>
      </c>
      <c r="L65" s="545"/>
      <c r="M65" s="546"/>
    </row>
    <row r="66" spans="1:13" ht="9.75">
      <c r="A66" s="282">
        <v>11110</v>
      </c>
      <c r="B66" s="283" t="s">
        <v>163</v>
      </c>
      <c r="C66" s="283"/>
      <c r="D66" s="283"/>
      <c r="E66" s="283"/>
      <c r="F66" s="284" t="s">
        <v>116</v>
      </c>
      <c r="G66" s="284">
        <v>0</v>
      </c>
      <c r="H66" s="284">
        <v>3</v>
      </c>
      <c r="I66" s="284">
        <v>149</v>
      </c>
      <c r="J66" s="284">
        <v>1</v>
      </c>
      <c r="K66" s="284">
        <v>153</v>
      </c>
      <c r="L66" s="545"/>
      <c r="M66" s="546"/>
    </row>
    <row r="67" spans="1:13" ht="9.75">
      <c r="A67" s="282">
        <v>11110</v>
      </c>
      <c r="B67" s="283" t="s">
        <v>163</v>
      </c>
      <c r="C67" s="283"/>
      <c r="D67" s="283"/>
      <c r="E67" s="283"/>
      <c r="F67" s="284" t="s">
        <v>114</v>
      </c>
      <c r="G67" s="284">
        <v>0</v>
      </c>
      <c r="H67" s="284">
        <v>14</v>
      </c>
      <c r="I67" s="284">
        <v>197</v>
      </c>
      <c r="J67" s="284">
        <v>6</v>
      </c>
      <c r="K67" s="284">
        <v>217</v>
      </c>
      <c r="L67" s="545"/>
      <c r="M67" s="546"/>
    </row>
    <row r="68" spans="1:13" ht="9.75">
      <c r="A68" s="282">
        <v>11110</v>
      </c>
      <c r="B68" s="283" t="s">
        <v>163</v>
      </c>
      <c r="C68" s="283"/>
      <c r="D68" s="283"/>
      <c r="E68" s="283"/>
      <c r="F68" s="284" t="s">
        <v>119</v>
      </c>
      <c r="G68" s="284">
        <v>0</v>
      </c>
      <c r="H68" s="284">
        <v>11</v>
      </c>
      <c r="I68" s="284">
        <v>112</v>
      </c>
      <c r="J68" s="284">
        <v>0</v>
      </c>
      <c r="K68" s="284">
        <v>123</v>
      </c>
      <c r="L68" s="545"/>
      <c r="M68" s="546"/>
    </row>
    <row r="69" spans="1:13" ht="9.75">
      <c r="A69" s="282">
        <v>11110</v>
      </c>
      <c r="B69" s="283" t="s">
        <v>163</v>
      </c>
      <c r="C69" s="283"/>
      <c r="D69" s="283"/>
      <c r="E69" s="283"/>
      <c r="F69" s="284" t="s">
        <v>122</v>
      </c>
      <c r="G69" s="284">
        <v>0</v>
      </c>
      <c r="H69" s="284">
        <v>385</v>
      </c>
      <c r="I69" s="284">
        <v>412</v>
      </c>
      <c r="J69" s="284">
        <v>4</v>
      </c>
      <c r="K69" s="284">
        <v>801</v>
      </c>
      <c r="L69" s="545"/>
      <c r="M69" s="546"/>
    </row>
    <row r="70" spans="1:13" ht="14.25">
      <c r="A70" s="278">
        <v>11120</v>
      </c>
      <c r="B70" s="279" t="s">
        <v>164</v>
      </c>
      <c r="C70" s="279" t="s">
        <v>130</v>
      </c>
      <c r="D70" s="279" t="s">
        <v>131</v>
      </c>
      <c r="E70" s="280">
        <v>2.25</v>
      </c>
      <c r="F70" s="280" t="s">
        <v>132</v>
      </c>
      <c r="G70" s="280">
        <v>65</v>
      </c>
      <c r="H70" s="280">
        <v>0</v>
      </c>
      <c r="I70" s="280">
        <v>26</v>
      </c>
      <c r="J70" s="280">
        <v>1</v>
      </c>
      <c r="K70" s="280">
        <v>92</v>
      </c>
      <c r="L70" s="280">
        <v>91.5</v>
      </c>
      <c r="M70" s="281">
        <v>205.88</v>
      </c>
    </row>
    <row r="71" spans="1:13" ht="14.25">
      <c r="A71" s="274">
        <v>11120</v>
      </c>
      <c r="B71" s="275" t="s">
        <v>164</v>
      </c>
      <c r="C71" s="275" t="s">
        <v>130</v>
      </c>
      <c r="D71" s="275" t="s">
        <v>131</v>
      </c>
      <c r="E71" s="276">
        <v>2.25</v>
      </c>
      <c r="F71" s="276" t="s">
        <v>109</v>
      </c>
      <c r="G71" s="276">
        <v>0</v>
      </c>
      <c r="H71" s="276">
        <v>12</v>
      </c>
      <c r="I71" s="276">
        <v>155</v>
      </c>
      <c r="J71" s="276">
        <v>3</v>
      </c>
      <c r="K71" s="276">
        <v>170</v>
      </c>
      <c r="L71" s="276">
        <v>156.5</v>
      </c>
      <c r="M71" s="277">
        <v>352.13</v>
      </c>
    </row>
    <row r="72" spans="1:13" ht="14.25">
      <c r="A72" s="278">
        <v>11120</v>
      </c>
      <c r="B72" s="279" t="s">
        <v>164</v>
      </c>
      <c r="C72" s="279" t="s">
        <v>95</v>
      </c>
      <c r="D72" s="279" t="s">
        <v>18</v>
      </c>
      <c r="E72" s="280">
        <v>2.25</v>
      </c>
      <c r="F72" s="280" t="s">
        <v>132</v>
      </c>
      <c r="G72" s="280">
        <v>45</v>
      </c>
      <c r="H72" s="280">
        <v>8</v>
      </c>
      <c r="I72" s="280">
        <v>34</v>
      </c>
      <c r="J72" s="280">
        <v>2</v>
      </c>
      <c r="K72" s="280">
        <v>89</v>
      </c>
      <c r="L72" s="280">
        <v>80</v>
      </c>
      <c r="M72" s="281">
        <v>180</v>
      </c>
    </row>
    <row r="73" spans="1:13" ht="14.25">
      <c r="A73" s="274">
        <v>11120</v>
      </c>
      <c r="B73" s="275" t="s">
        <v>164</v>
      </c>
      <c r="C73" s="275" t="s">
        <v>95</v>
      </c>
      <c r="D73" s="275" t="s">
        <v>18</v>
      </c>
      <c r="E73" s="276">
        <v>2.25</v>
      </c>
      <c r="F73" s="276" t="s">
        <v>109</v>
      </c>
      <c r="G73" s="276">
        <v>0</v>
      </c>
      <c r="H73" s="276">
        <v>21</v>
      </c>
      <c r="I73" s="276">
        <v>118</v>
      </c>
      <c r="J73" s="276">
        <v>5</v>
      </c>
      <c r="K73" s="276">
        <v>144</v>
      </c>
      <c r="L73" s="276">
        <v>120.5</v>
      </c>
      <c r="M73" s="277">
        <v>271.13</v>
      </c>
    </row>
    <row r="74" spans="1:13" ht="14.25">
      <c r="A74" s="278">
        <v>11120</v>
      </c>
      <c r="B74" s="279" t="s">
        <v>164</v>
      </c>
      <c r="C74" s="279" t="s">
        <v>9</v>
      </c>
      <c r="D74" s="279" t="s">
        <v>10</v>
      </c>
      <c r="E74" s="280">
        <v>2.8</v>
      </c>
      <c r="F74" s="280" t="s">
        <v>110</v>
      </c>
      <c r="G74" s="280">
        <v>148</v>
      </c>
      <c r="H74" s="280">
        <v>0</v>
      </c>
      <c r="I74" s="280">
        <v>37</v>
      </c>
      <c r="J74" s="280">
        <v>0</v>
      </c>
      <c r="K74" s="280">
        <v>185</v>
      </c>
      <c r="L74" s="280">
        <v>185</v>
      </c>
      <c r="M74" s="281">
        <v>518</v>
      </c>
    </row>
    <row r="75" spans="1:13" ht="14.25">
      <c r="A75" s="274">
        <v>11120</v>
      </c>
      <c r="B75" s="275" t="s">
        <v>164</v>
      </c>
      <c r="C75" s="275" t="s">
        <v>9</v>
      </c>
      <c r="D75" s="275" t="s">
        <v>10</v>
      </c>
      <c r="E75" s="276">
        <v>2.8</v>
      </c>
      <c r="F75" s="276" t="s">
        <v>113</v>
      </c>
      <c r="G75" s="276">
        <v>0</v>
      </c>
      <c r="H75" s="276">
        <v>38</v>
      </c>
      <c r="I75" s="276">
        <v>798</v>
      </c>
      <c r="J75" s="276">
        <v>5</v>
      </c>
      <c r="K75" s="276">
        <v>841</v>
      </c>
      <c r="L75" s="276">
        <v>800.5</v>
      </c>
      <c r="M75" s="277">
        <v>2241.4</v>
      </c>
    </row>
    <row r="76" spans="1:13" ht="14.25">
      <c r="A76" s="278">
        <v>11120</v>
      </c>
      <c r="B76" s="279" t="s">
        <v>164</v>
      </c>
      <c r="C76" s="279" t="s">
        <v>135</v>
      </c>
      <c r="D76" s="279" t="s">
        <v>136</v>
      </c>
      <c r="E76" s="280">
        <v>2.8</v>
      </c>
      <c r="F76" s="280" t="s">
        <v>119</v>
      </c>
      <c r="G76" s="280">
        <v>0</v>
      </c>
      <c r="H76" s="280">
        <v>0</v>
      </c>
      <c r="I76" s="280">
        <v>1</v>
      </c>
      <c r="J76" s="280">
        <v>0</v>
      </c>
      <c r="K76" s="280">
        <v>1</v>
      </c>
      <c r="L76" s="280">
        <v>1</v>
      </c>
      <c r="M76" s="281">
        <v>2.8</v>
      </c>
    </row>
    <row r="77" spans="1:13" ht="14.25">
      <c r="A77" s="274">
        <v>11120</v>
      </c>
      <c r="B77" s="275" t="s">
        <v>164</v>
      </c>
      <c r="C77" s="275" t="s">
        <v>135</v>
      </c>
      <c r="D77" s="275" t="s">
        <v>136</v>
      </c>
      <c r="E77" s="276">
        <v>2.8</v>
      </c>
      <c r="F77" s="276" t="s">
        <v>122</v>
      </c>
      <c r="G77" s="276">
        <v>0</v>
      </c>
      <c r="H77" s="276">
        <v>1</v>
      </c>
      <c r="I77" s="276">
        <v>1</v>
      </c>
      <c r="J77" s="276">
        <v>0</v>
      </c>
      <c r="K77" s="276">
        <v>2</v>
      </c>
      <c r="L77" s="276">
        <v>1</v>
      </c>
      <c r="M77" s="277">
        <v>2.8</v>
      </c>
    </row>
    <row r="78" spans="1:13" ht="14.25">
      <c r="A78" s="278">
        <v>11120</v>
      </c>
      <c r="B78" s="279" t="s">
        <v>164</v>
      </c>
      <c r="C78" s="279" t="s">
        <v>137</v>
      </c>
      <c r="D78" s="279" t="s">
        <v>138</v>
      </c>
      <c r="E78" s="280">
        <v>2.25</v>
      </c>
      <c r="F78" s="280" t="s">
        <v>119</v>
      </c>
      <c r="G78" s="280">
        <v>0</v>
      </c>
      <c r="H78" s="280">
        <v>0</v>
      </c>
      <c r="I78" s="280">
        <v>1</v>
      </c>
      <c r="J78" s="280">
        <v>0</v>
      </c>
      <c r="K78" s="280">
        <v>1</v>
      </c>
      <c r="L78" s="280">
        <v>1</v>
      </c>
      <c r="M78" s="281">
        <v>2.25</v>
      </c>
    </row>
    <row r="79" spans="1:13" ht="14.25">
      <c r="A79" s="274">
        <v>11120</v>
      </c>
      <c r="B79" s="275" t="s">
        <v>164</v>
      </c>
      <c r="C79" s="275" t="s">
        <v>137</v>
      </c>
      <c r="D79" s="275" t="s">
        <v>138</v>
      </c>
      <c r="E79" s="276">
        <v>2.25</v>
      </c>
      <c r="F79" s="276" t="s">
        <v>122</v>
      </c>
      <c r="G79" s="276">
        <v>0</v>
      </c>
      <c r="H79" s="276">
        <v>2</v>
      </c>
      <c r="I79" s="276">
        <v>4</v>
      </c>
      <c r="J79" s="276">
        <v>0</v>
      </c>
      <c r="K79" s="276">
        <v>6</v>
      </c>
      <c r="L79" s="276">
        <v>4</v>
      </c>
      <c r="M79" s="277">
        <v>9</v>
      </c>
    </row>
    <row r="80" spans="1:13" ht="14.25">
      <c r="A80" s="278">
        <v>11120</v>
      </c>
      <c r="B80" s="279" t="s">
        <v>164</v>
      </c>
      <c r="C80" s="279" t="s">
        <v>139</v>
      </c>
      <c r="D80" s="279" t="s">
        <v>140</v>
      </c>
      <c r="E80" s="280">
        <v>2.25</v>
      </c>
      <c r="F80" s="280" t="s">
        <v>122</v>
      </c>
      <c r="G80" s="280">
        <v>0</v>
      </c>
      <c r="H80" s="280">
        <v>1</v>
      </c>
      <c r="I80" s="280">
        <v>2</v>
      </c>
      <c r="J80" s="280">
        <v>0</v>
      </c>
      <c r="K80" s="280">
        <v>3</v>
      </c>
      <c r="L80" s="280">
        <v>2</v>
      </c>
      <c r="M80" s="281">
        <v>4.5</v>
      </c>
    </row>
    <row r="81" spans="1:13" ht="14.25">
      <c r="A81" s="274">
        <v>11120</v>
      </c>
      <c r="B81" s="275" t="s">
        <v>164</v>
      </c>
      <c r="C81" s="275" t="s">
        <v>77</v>
      </c>
      <c r="D81" s="275" t="s">
        <v>78</v>
      </c>
      <c r="E81" s="276">
        <v>2.25</v>
      </c>
      <c r="F81" s="276" t="s">
        <v>119</v>
      </c>
      <c r="G81" s="276">
        <v>0</v>
      </c>
      <c r="H81" s="276">
        <v>0</v>
      </c>
      <c r="I81" s="276">
        <v>5</v>
      </c>
      <c r="J81" s="276">
        <v>0</v>
      </c>
      <c r="K81" s="276">
        <v>5</v>
      </c>
      <c r="L81" s="276">
        <v>5</v>
      </c>
      <c r="M81" s="277">
        <v>11.25</v>
      </c>
    </row>
    <row r="82" spans="1:13" ht="14.25">
      <c r="A82" s="278">
        <v>11120</v>
      </c>
      <c r="B82" s="279" t="s">
        <v>164</v>
      </c>
      <c r="C82" s="279" t="s">
        <v>77</v>
      </c>
      <c r="D82" s="279" t="s">
        <v>78</v>
      </c>
      <c r="E82" s="280">
        <v>2.25</v>
      </c>
      <c r="F82" s="280" t="s">
        <v>122</v>
      </c>
      <c r="G82" s="280">
        <v>0</v>
      </c>
      <c r="H82" s="280">
        <v>9</v>
      </c>
      <c r="I82" s="280">
        <v>7</v>
      </c>
      <c r="J82" s="280">
        <v>0</v>
      </c>
      <c r="K82" s="280">
        <v>16</v>
      </c>
      <c r="L82" s="280">
        <v>7</v>
      </c>
      <c r="M82" s="281">
        <v>15.75</v>
      </c>
    </row>
    <row r="83" spans="1:13" ht="14.25">
      <c r="A83" s="274">
        <v>11120</v>
      </c>
      <c r="B83" s="275" t="s">
        <v>164</v>
      </c>
      <c r="C83" s="275" t="s">
        <v>13</v>
      </c>
      <c r="D83" s="275" t="s">
        <v>14</v>
      </c>
      <c r="E83" s="276">
        <v>2.8</v>
      </c>
      <c r="F83" s="276" t="s">
        <v>119</v>
      </c>
      <c r="G83" s="276">
        <v>0</v>
      </c>
      <c r="H83" s="276">
        <v>2</v>
      </c>
      <c r="I83" s="276">
        <v>3</v>
      </c>
      <c r="J83" s="276">
        <v>0</v>
      </c>
      <c r="K83" s="276">
        <v>5</v>
      </c>
      <c r="L83" s="276">
        <v>3</v>
      </c>
      <c r="M83" s="277">
        <v>8.4</v>
      </c>
    </row>
    <row r="84" spans="1:13" ht="14.25">
      <c r="A84" s="278">
        <v>11120</v>
      </c>
      <c r="B84" s="279" t="s">
        <v>164</v>
      </c>
      <c r="C84" s="279" t="s">
        <v>13</v>
      </c>
      <c r="D84" s="279" t="s">
        <v>14</v>
      </c>
      <c r="E84" s="280">
        <v>2.8</v>
      </c>
      <c r="F84" s="280" t="s">
        <v>122</v>
      </c>
      <c r="G84" s="280">
        <v>0</v>
      </c>
      <c r="H84" s="280">
        <v>17</v>
      </c>
      <c r="I84" s="280">
        <v>27</v>
      </c>
      <c r="J84" s="280">
        <v>0</v>
      </c>
      <c r="K84" s="280">
        <v>44</v>
      </c>
      <c r="L84" s="280">
        <v>27</v>
      </c>
      <c r="M84" s="281">
        <v>75.6</v>
      </c>
    </row>
    <row r="85" spans="1:13" ht="14.25">
      <c r="A85" s="274">
        <v>11120</v>
      </c>
      <c r="B85" s="275" t="s">
        <v>164</v>
      </c>
      <c r="C85" s="275" t="s">
        <v>15</v>
      </c>
      <c r="D85" s="275" t="s">
        <v>16</v>
      </c>
      <c r="E85" s="276">
        <v>2.25</v>
      </c>
      <c r="F85" s="276" t="s">
        <v>119</v>
      </c>
      <c r="G85" s="276">
        <v>0</v>
      </c>
      <c r="H85" s="276">
        <v>0</v>
      </c>
      <c r="I85" s="276">
        <v>6</v>
      </c>
      <c r="J85" s="276">
        <v>0</v>
      </c>
      <c r="K85" s="276">
        <v>6</v>
      </c>
      <c r="L85" s="276">
        <v>6</v>
      </c>
      <c r="M85" s="277">
        <v>13.5</v>
      </c>
    </row>
    <row r="86" spans="1:13" ht="14.25">
      <c r="A86" s="278">
        <v>11120</v>
      </c>
      <c r="B86" s="279" t="s">
        <v>164</v>
      </c>
      <c r="C86" s="279" t="s">
        <v>15</v>
      </c>
      <c r="D86" s="279" t="s">
        <v>16</v>
      </c>
      <c r="E86" s="280">
        <v>2.25</v>
      </c>
      <c r="F86" s="280" t="s">
        <v>122</v>
      </c>
      <c r="G86" s="280">
        <v>0</v>
      </c>
      <c r="H86" s="280">
        <v>21</v>
      </c>
      <c r="I86" s="280">
        <v>25</v>
      </c>
      <c r="J86" s="280">
        <v>1</v>
      </c>
      <c r="K86" s="280">
        <v>47</v>
      </c>
      <c r="L86" s="280">
        <v>25.5</v>
      </c>
      <c r="M86" s="281">
        <v>57.38</v>
      </c>
    </row>
    <row r="87" spans="1:13" ht="14.25">
      <c r="A87" s="274">
        <v>11120</v>
      </c>
      <c r="B87" s="275" t="s">
        <v>164</v>
      </c>
      <c r="C87" s="275" t="s">
        <v>149</v>
      </c>
      <c r="D87" s="275" t="s">
        <v>150</v>
      </c>
      <c r="E87" s="276">
        <v>2.8</v>
      </c>
      <c r="F87" s="276" t="s">
        <v>119</v>
      </c>
      <c r="G87" s="276">
        <v>0</v>
      </c>
      <c r="H87" s="276">
        <v>1</v>
      </c>
      <c r="I87" s="276">
        <v>15</v>
      </c>
      <c r="J87" s="276">
        <v>0</v>
      </c>
      <c r="K87" s="276">
        <v>16</v>
      </c>
      <c r="L87" s="276">
        <v>15</v>
      </c>
      <c r="M87" s="277">
        <v>42</v>
      </c>
    </row>
    <row r="88" spans="1:13" ht="14.25">
      <c r="A88" s="278">
        <v>11120</v>
      </c>
      <c r="B88" s="279" t="s">
        <v>164</v>
      </c>
      <c r="C88" s="279" t="s">
        <v>149</v>
      </c>
      <c r="D88" s="279" t="s">
        <v>150</v>
      </c>
      <c r="E88" s="280">
        <v>2.8</v>
      </c>
      <c r="F88" s="280" t="s">
        <v>122</v>
      </c>
      <c r="G88" s="280">
        <v>0</v>
      </c>
      <c r="H88" s="280">
        <v>9</v>
      </c>
      <c r="I88" s="280">
        <v>42</v>
      </c>
      <c r="J88" s="280">
        <v>0</v>
      </c>
      <c r="K88" s="280">
        <v>51</v>
      </c>
      <c r="L88" s="280">
        <v>42</v>
      </c>
      <c r="M88" s="281">
        <v>117.6</v>
      </c>
    </row>
    <row r="89" spans="1:13" ht="14.25">
      <c r="A89" s="274">
        <v>11120</v>
      </c>
      <c r="B89" s="275" t="s">
        <v>164</v>
      </c>
      <c r="C89" s="275" t="s">
        <v>151</v>
      </c>
      <c r="D89" s="275" t="s">
        <v>152</v>
      </c>
      <c r="E89" s="276">
        <v>2.8</v>
      </c>
      <c r="F89" s="276" t="s">
        <v>119</v>
      </c>
      <c r="G89" s="276">
        <v>0</v>
      </c>
      <c r="H89" s="276">
        <v>2</v>
      </c>
      <c r="I89" s="276">
        <v>14</v>
      </c>
      <c r="J89" s="276">
        <v>0</v>
      </c>
      <c r="K89" s="276">
        <v>16</v>
      </c>
      <c r="L89" s="276">
        <v>14</v>
      </c>
      <c r="M89" s="277">
        <v>39.2</v>
      </c>
    </row>
    <row r="90" spans="1:13" ht="14.25">
      <c r="A90" s="278">
        <v>11120</v>
      </c>
      <c r="B90" s="279" t="s">
        <v>164</v>
      </c>
      <c r="C90" s="279" t="s">
        <v>151</v>
      </c>
      <c r="D90" s="279" t="s">
        <v>152</v>
      </c>
      <c r="E90" s="280">
        <v>2.8</v>
      </c>
      <c r="F90" s="280" t="s">
        <v>122</v>
      </c>
      <c r="G90" s="280">
        <v>0</v>
      </c>
      <c r="H90" s="280">
        <v>27</v>
      </c>
      <c r="I90" s="280">
        <v>51</v>
      </c>
      <c r="J90" s="280">
        <v>1</v>
      </c>
      <c r="K90" s="280">
        <v>79</v>
      </c>
      <c r="L90" s="280">
        <v>51.5</v>
      </c>
      <c r="M90" s="281">
        <v>144.2</v>
      </c>
    </row>
    <row r="91" spans="1:13" ht="14.25">
      <c r="A91" s="274">
        <v>11120</v>
      </c>
      <c r="B91" s="275" t="s">
        <v>164</v>
      </c>
      <c r="C91" s="275" t="s">
        <v>153</v>
      </c>
      <c r="D91" s="275" t="s">
        <v>154</v>
      </c>
      <c r="E91" s="276">
        <v>2.8</v>
      </c>
      <c r="F91" s="276" t="s">
        <v>122</v>
      </c>
      <c r="G91" s="276">
        <v>0</v>
      </c>
      <c r="H91" s="276">
        <v>5</v>
      </c>
      <c r="I91" s="276">
        <v>4</v>
      </c>
      <c r="J91" s="276">
        <v>0</v>
      </c>
      <c r="K91" s="276">
        <v>9</v>
      </c>
      <c r="L91" s="276">
        <v>4</v>
      </c>
      <c r="M91" s="277">
        <v>11.2</v>
      </c>
    </row>
    <row r="92" spans="1:13" ht="14.25">
      <c r="A92" s="278">
        <v>11120</v>
      </c>
      <c r="B92" s="279" t="s">
        <v>164</v>
      </c>
      <c r="C92" s="279" t="s">
        <v>161</v>
      </c>
      <c r="D92" s="279" t="s">
        <v>162</v>
      </c>
      <c r="E92" s="280">
        <v>2.25</v>
      </c>
      <c r="F92" s="280" t="s">
        <v>122</v>
      </c>
      <c r="G92" s="280">
        <v>0</v>
      </c>
      <c r="H92" s="280">
        <v>2</v>
      </c>
      <c r="I92" s="280">
        <v>1</v>
      </c>
      <c r="J92" s="280">
        <v>0</v>
      </c>
      <c r="K92" s="280">
        <v>3</v>
      </c>
      <c r="L92" s="280">
        <v>1</v>
      </c>
      <c r="M92" s="281">
        <v>2.25</v>
      </c>
    </row>
    <row r="93" spans="1:13" ht="9.75">
      <c r="A93" s="282">
        <v>11120</v>
      </c>
      <c r="B93" s="283" t="s">
        <v>163</v>
      </c>
      <c r="C93" s="283"/>
      <c r="D93" s="283"/>
      <c r="E93" s="283"/>
      <c r="F93" s="284" t="s">
        <v>132</v>
      </c>
      <c r="G93" s="284">
        <v>110</v>
      </c>
      <c r="H93" s="284">
        <v>8</v>
      </c>
      <c r="I93" s="284">
        <v>60</v>
      </c>
      <c r="J93" s="284">
        <v>3</v>
      </c>
      <c r="K93" s="284">
        <v>181</v>
      </c>
      <c r="L93" s="545"/>
      <c r="M93" s="546"/>
    </row>
    <row r="94" spans="1:13" ht="9.75">
      <c r="A94" s="282">
        <v>11120</v>
      </c>
      <c r="B94" s="283" t="s">
        <v>163</v>
      </c>
      <c r="C94" s="283"/>
      <c r="D94" s="283"/>
      <c r="E94" s="283"/>
      <c r="F94" s="284" t="s">
        <v>109</v>
      </c>
      <c r="G94" s="284">
        <v>0</v>
      </c>
      <c r="H94" s="284">
        <v>33</v>
      </c>
      <c r="I94" s="284">
        <v>273</v>
      </c>
      <c r="J94" s="284">
        <v>8</v>
      </c>
      <c r="K94" s="284">
        <v>314</v>
      </c>
      <c r="L94" s="545"/>
      <c r="M94" s="546"/>
    </row>
    <row r="95" spans="1:13" ht="9.75">
      <c r="A95" s="282">
        <v>11120</v>
      </c>
      <c r="B95" s="283" t="s">
        <v>163</v>
      </c>
      <c r="C95" s="283"/>
      <c r="D95" s="283"/>
      <c r="E95" s="283"/>
      <c r="F95" s="284" t="s">
        <v>110</v>
      </c>
      <c r="G95" s="284">
        <v>148</v>
      </c>
      <c r="H95" s="284">
        <v>0</v>
      </c>
      <c r="I95" s="284">
        <v>37</v>
      </c>
      <c r="J95" s="284">
        <v>0</v>
      </c>
      <c r="K95" s="284">
        <v>185</v>
      </c>
      <c r="L95" s="545"/>
      <c r="M95" s="546"/>
    </row>
    <row r="96" spans="1:13" ht="9.75">
      <c r="A96" s="282">
        <v>11120</v>
      </c>
      <c r="B96" s="283" t="s">
        <v>163</v>
      </c>
      <c r="C96" s="283"/>
      <c r="D96" s="283"/>
      <c r="E96" s="283"/>
      <c r="F96" s="284" t="s">
        <v>113</v>
      </c>
      <c r="G96" s="284">
        <v>0</v>
      </c>
      <c r="H96" s="284">
        <v>38</v>
      </c>
      <c r="I96" s="284">
        <v>798</v>
      </c>
      <c r="J96" s="284">
        <v>5</v>
      </c>
      <c r="K96" s="284">
        <v>841</v>
      </c>
      <c r="L96" s="545"/>
      <c r="M96" s="546"/>
    </row>
    <row r="97" spans="1:13" ht="9.75">
      <c r="A97" s="282">
        <v>11120</v>
      </c>
      <c r="B97" s="283" t="s">
        <v>163</v>
      </c>
      <c r="C97" s="283"/>
      <c r="D97" s="283"/>
      <c r="E97" s="283"/>
      <c r="F97" s="284" t="s">
        <v>116</v>
      </c>
      <c r="G97" s="284">
        <v>0</v>
      </c>
      <c r="H97" s="284">
        <v>0</v>
      </c>
      <c r="I97" s="284">
        <v>0</v>
      </c>
      <c r="J97" s="284">
        <v>0</v>
      </c>
      <c r="K97" s="284">
        <v>0</v>
      </c>
      <c r="L97" s="545"/>
      <c r="M97" s="546"/>
    </row>
    <row r="98" spans="1:13" ht="9.75">
      <c r="A98" s="282">
        <v>11120</v>
      </c>
      <c r="B98" s="283" t="s">
        <v>163</v>
      </c>
      <c r="C98" s="283"/>
      <c r="D98" s="283"/>
      <c r="E98" s="283"/>
      <c r="F98" s="284" t="s">
        <v>114</v>
      </c>
      <c r="G98" s="284">
        <v>0</v>
      </c>
      <c r="H98" s="284">
        <v>0</v>
      </c>
      <c r="I98" s="284">
        <v>0</v>
      </c>
      <c r="J98" s="284">
        <v>0</v>
      </c>
      <c r="K98" s="284">
        <v>0</v>
      </c>
      <c r="L98" s="545"/>
      <c r="M98" s="546"/>
    </row>
    <row r="99" spans="1:13" ht="9.75">
      <c r="A99" s="282">
        <v>11120</v>
      </c>
      <c r="B99" s="283" t="s">
        <v>163</v>
      </c>
      <c r="C99" s="283"/>
      <c r="D99" s="283"/>
      <c r="E99" s="283"/>
      <c r="F99" s="284" t="s">
        <v>119</v>
      </c>
      <c r="G99" s="284">
        <v>0</v>
      </c>
      <c r="H99" s="284">
        <v>5</v>
      </c>
      <c r="I99" s="284">
        <v>45</v>
      </c>
      <c r="J99" s="284">
        <v>0</v>
      </c>
      <c r="K99" s="284">
        <v>50</v>
      </c>
      <c r="L99" s="545"/>
      <c r="M99" s="546"/>
    </row>
    <row r="100" spans="1:13" ht="9.75">
      <c r="A100" s="282">
        <v>11120</v>
      </c>
      <c r="B100" s="283" t="s">
        <v>163</v>
      </c>
      <c r="C100" s="283"/>
      <c r="D100" s="283"/>
      <c r="E100" s="283"/>
      <c r="F100" s="284" t="s">
        <v>122</v>
      </c>
      <c r="G100" s="284">
        <v>0</v>
      </c>
      <c r="H100" s="284">
        <v>94</v>
      </c>
      <c r="I100" s="284">
        <v>164</v>
      </c>
      <c r="J100" s="284">
        <v>2</v>
      </c>
      <c r="K100" s="284">
        <v>260</v>
      </c>
      <c r="L100" s="545"/>
      <c r="M100" s="546"/>
    </row>
    <row r="101" spans="1:13" ht="14.25">
      <c r="A101" s="274">
        <v>11130</v>
      </c>
      <c r="B101" s="275" t="s">
        <v>165</v>
      </c>
      <c r="C101" s="275" t="s">
        <v>130</v>
      </c>
      <c r="D101" s="275" t="s">
        <v>131</v>
      </c>
      <c r="E101" s="276">
        <v>2.25</v>
      </c>
      <c r="F101" s="276" t="s">
        <v>132</v>
      </c>
      <c r="G101" s="276">
        <v>18</v>
      </c>
      <c r="H101" s="276">
        <v>0</v>
      </c>
      <c r="I101" s="276">
        <v>15</v>
      </c>
      <c r="J101" s="276">
        <v>0</v>
      </c>
      <c r="K101" s="276">
        <v>33</v>
      </c>
      <c r="L101" s="276">
        <v>33</v>
      </c>
      <c r="M101" s="277">
        <v>74.25</v>
      </c>
    </row>
    <row r="102" spans="1:13" ht="14.25">
      <c r="A102" s="278">
        <v>11130</v>
      </c>
      <c r="B102" s="279" t="s">
        <v>165</v>
      </c>
      <c r="C102" s="279" t="s">
        <v>130</v>
      </c>
      <c r="D102" s="279" t="s">
        <v>131</v>
      </c>
      <c r="E102" s="280">
        <v>2.25</v>
      </c>
      <c r="F102" s="280" t="s">
        <v>109</v>
      </c>
      <c r="G102" s="280">
        <v>0</v>
      </c>
      <c r="H102" s="280">
        <v>4</v>
      </c>
      <c r="I102" s="280">
        <v>34</v>
      </c>
      <c r="J102" s="280">
        <v>1</v>
      </c>
      <c r="K102" s="280">
        <v>39</v>
      </c>
      <c r="L102" s="280">
        <v>34.5</v>
      </c>
      <c r="M102" s="281">
        <v>77.63</v>
      </c>
    </row>
    <row r="103" spans="1:13" ht="14.25">
      <c r="A103" s="274">
        <v>11130</v>
      </c>
      <c r="B103" s="275" t="s">
        <v>165</v>
      </c>
      <c r="C103" s="275" t="s">
        <v>95</v>
      </c>
      <c r="D103" s="275" t="s">
        <v>18</v>
      </c>
      <c r="E103" s="276">
        <v>2.25</v>
      </c>
      <c r="F103" s="276" t="s">
        <v>132</v>
      </c>
      <c r="G103" s="276">
        <v>16</v>
      </c>
      <c r="H103" s="276">
        <v>0</v>
      </c>
      <c r="I103" s="276">
        <v>15</v>
      </c>
      <c r="J103" s="276">
        <v>0</v>
      </c>
      <c r="K103" s="276">
        <v>31</v>
      </c>
      <c r="L103" s="276">
        <v>31</v>
      </c>
      <c r="M103" s="277">
        <v>69.75</v>
      </c>
    </row>
    <row r="104" spans="1:13" ht="14.25">
      <c r="A104" s="278">
        <v>11130</v>
      </c>
      <c r="B104" s="279" t="s">
        <v>165</v>
      </c>
      <c r="C104" s="279" t="s">
        <v>95</v>
      </c>
      <c r="D104" s="279" t="s">
        <v>18</v>
      </c>
      <c r="E104" s="280">
        <v>2.25</v>
      </c>
      <c r="F104" s="280" t="s">
        <v>109</v>
      </c>
      <c r="G104" s="280">
        <v>0</v>
      </c>
      <c r="H104" s="280">
        <v>6</v>
      </c>
      <c r="I104" s="280">
        <v>57</v>
      </c>
      <c r="J104" s="280">
        <v>0</v>
      </c>
      <c r="K104" s="280">
        <v>63</v>
      </c>
      <c r="L104" s="280">
        <v>57</v>
      </c>
      <c r="M104" s="281">
        <v>128.25</v>
      </c>
    </row>
    <row r="105" spans="1:13" ht="14.25">
      <c r="A105" s="274">
        <v>11130</v>
      </c>
      <c r="B105" s="275" t="s">
        <v>165</v>
      </c>
      <c r="C105" s="275" t="s">
        <v>9</v>
      </c>
      <c r="D105" s="275" t="s">
        <v>10</v>
      </c>
      <c r="E105" s="276">
        <v>2.8</v>
      </c>
      <c r="F105" s="276" t="s">
        <v>110</v>
      </c>
      <c r="G105" s="276">
        <v>138</v>
      </c>
      <c r="H105" s="276">
        <v>0</v>
      </c>
      <c r="I105" s="276">
        <v>37</v>
      </c>
      <c r="J105" s="276">
        <v>0</v>
      </c>
      <c r="K105" s="276">
        <v>175</v>
      </c>
      <c r="L105" s="276">
        <v>175</v>
      </c>
      <c r="M105" s="277">
        <v>490</v>
      </c>
    </row>
    <row r="106" spans="1:13" ht="14.25">
      <c r="A106" s="278">
        <v>11130</v>
      </c>
      <c r="B106" s="279" t="s">
        <v>165</v>
      </c>
      <c r="C106" s="279" t="s">
        <v>9</v>
      </c>
      <c r="D106" s="279" t="s">
        <v>10</v>
      </c>
      <c r="E106" s="280">
        <v>2.8</v>
      </c>
      <c r="F106" s="280" t="s">
        <v>113</v>
      </c>
      <c r="G106" s="280">
        <v>0</v>
      </c>
      <c r="H106" s="280">
        <v>15</v>
      </c>
      <c r="I106" s="280">
        <v>778</v>
      </c>
      <c r="J106" s="280">
        <v>4</v>
      </c>
      <c r="K106" s="280">
        <v>797</v>
      </c>
      <c r="L106" s="280">
        <v>780</v>
      </c>
      <c r="M106" s="281">
        <v>2184</v>
      </c>
    </row>
    <row r="107" spans="1:13" ht="14.25">
      <c r="A107" s="274">
        <v>11130</v>
      </c>
      <c r="B107" s="275" t="s">
        <v>165</v>
      </c>
      <c r="C107" s="275" t="s">
        <v>98</v>
      </c>
      <c r="D107" s="275" t="s">
        <v>18</v>
      </c>
      <c r="E107" s="276">
        <v>2.25</v>
      </c>
      <c r="F107" s="276" t="s">
        <v>116</v>
      </c>
      <c r="G107" s="276">
        <v>0</v>
      </c>
      <c r="H107" s="276">
        <v>0</v>
      </c>
      <c r="I107" s="276">
        <v>26</v>
      </c>
      <c r="J107" s="276">
        <v>0</v>
      </c>
      <c r="K107" s="276">
        <v>26</v>
      </c>
      <c r="L107" s="276">
        <v>26</v>
      </c>
      <c r="M107" s="277">
        <v>58.5</v>
      </c>
    </row>
    <row r="108" spans="1:13" ht="14.25">
      <c r="A108" s="278">
        <v>11130</v>
      </c>
      <c r="B108" s="279" t="s">
        <v>165</v>
      </c>
      <c r="C108" s="279" t="s">
        <v>98</v>
      </c>
      <c r="D108" s="279" t="s">
        <v>18</v>
      </c>
      <c r="E108" s="280">
        <v>2.25</v>
      </c>
      <c r="F108" s="280" t="s">
        <v>114</v>
      </c>
      <c r="G108" s="280">
        <v>0</v>
      </c>
      <c r="H108" s="280">
        <v>1</v>
      </c>
      <c r="I108" s="280">
        <v>37</v>
      </c>
      <c r="J108" s="280">
        <v>0</v>
      </c>
      <c r="K108" s="280">
        <v>38</v>
      </c>
      <c r="L108" s="280">
        <v>37</v>
      </c>
      <c r="M108" s="281">
        <v>83.25</v>
      </c>
    </row>
    <row r="109" spans="1:13" ht="14.25">
      <c r="A109" s="274">
        <v>11130</v>
      </c>
      <c r="B109" s="275" t="s">
        <v>165</v>
      </c>
      <c r="C109" s="275" t="s">
        <v>135</v>
      </c>
      <c r="D109" s="275" t="s">
        <v>136</v>
      </c>
      <c r="E109" s="276">
        <v>2.8</v>
      </c>
      <c r="F109" s="276" t="s">
        <v>119</v>
      </c>
      <c r="G109" s="276">
        <v>0</v>
      </c>
      <c r="H109" s="276">
        <v>0</v>
      </c>
      <c r="I109" s="276">
        <v>4</v>
      </c>
      <c r="J109" s="276">
        <v>0</v>
      </c>
      <c r="K109" s="276">
        <v>4</v>
      </c>
      <c r="L109" s="276">
        <v>4</v>
      </c>
      <c r="M109" s="277">
        <v>11.2</v>
      </c>
    </row>
    <row r="110" spans="1:13" ht="14.25">
      <c r="A110" s="278">
        <v>11130</v>
      </c>
      <c r="B110" s="279" t="s">
        <v>165</v>
      </c>
      <c r="C110" s="279" t="s">
        <v>135</v>
      </c>
      <c r="D110" s="279" t="s">
        <v>136</v>
      </c>
      <c r="E110" s="280">
        <v>2.8</v>
      </c>
      <c r="F110" s="280" t="s">
        <v>122</v>
      </c>
      <c r="G110" s="280">
        <v>0</v>
      </c>
      <c r="H110" s="280">
        <v>8</v>
      </c>
      <c r="I110" s="280">
        <v>8</v>
      </c>
      <c r="J110" s="280">
        <v>0</v>
      </c>
      <c r="K110" s="280">
        <v>16</v>
      </c>
      <c r="L110" s="280">
        <v>8</v>
      </c>
      <c r="M110" s="281">
        <v>22.4</v>
      </c>
    </row>
    <row r="111" spans="1:13" ht="14.25">
      <c r="A111" s="274">
        <v>11130</v>
      </c>
      <c r="B111" s="275" t="s">
        <v>165</v>
      </c>
      <c r="C111" s="275" t="s">
        <v>75</v>
      </c>
      <c r="D111" s="275" t="s">
        <v>76</v>
      </c>
      <c r="E111" s="276">
        <v>2.8</v>
      </c>
      <c r="F111" s="276" t="s">
        <v>122</v>
      </c>
      <c r="G111" s="276">
        <v>0</v>
      </c>
      <c r="H111" s="276">
        <v>0</v>
      </c>
      <c r="I111" s="276">
        <v>1</v>
      </c>
      <c r="J111" s="276">
        <v>0</v>
      </c>
      <c r="K111" s="276">
        <v>1</v>
      </c>
      <c r="L111" s="276">
        <v>1</v>
      </c>
      <c r="M111" s="277">
        <v>2.8</v>
      </c>
    </row>
    <row r="112" spans="1:13" ht="14.25">
      <c r="A112" s="278">
        <v>11130</v>
      </c>
      <c r="B112" s="279" t="s">
        <v>165</v>
      </c>
      <c r="C112" s="279" t="s">
        <v>137</v>
      </c>
      <c r="D112" s="279" t="s">
        <v>138</v>
      </c>
      <c r="E112" s="280">
        <v>2.25</v>
      </c>
      <c r="F112" s="280" t="s">
        <v>119</v>
      </c>
      <c r="G112" s="280">
        <v>0</v>
      </c>
      <c r="H112" s="280">
        <v>0</v>
      </c>
      <c r="I112" s="280">
        <v>2</v>
      </c>
      <c r="J112" s="280">
        <v>0</v>
      </c>
      <c r="K112" s="280">
        <v>2</v>
      </c>
      <c r="L112" s="280">
        <v>2</v>
      </c>
      <c r="M112" s="281">
        <v>4.5</v>
      </c>
    </row>
    <row r="113" spans="1:13" ht="14.25">
      <c r="A113" s="274">
        <v>11130</v>
      </c>
      <c r="B113" s="275" t="s">
        <v>165</v>
      </c>
      <c r="C113" s="275" t="s">
        <v>137</v>
      </c>
      <c r="D113" s="275" t="s">
        <v>138</v>
      </c>
      <c r="E113" s="276">
        <v>2.25</v>
      </c>
      <c r="F113" s="276" t="s">
        <v>122</v>
      </c>
      <c r="G113" s="276">
        <v>0</v>
      </c>
      <c r="H113" s="276">
        <v>3</v>
      </c>
      <c r="I113" s="276">
        <v>1</v>
      </c>
      <c r="J113" s="276">
        <v>0</v>
      </c>
      <c r="K113" s="276">
        <v>4</v>
      </c>
      <c r="L113" s="276">
        <v>1</v>
      </c>
      <c r="M113" s="277">
        <v>2.25</v>
      </c>
    </row>
    <row r="114" spans="1:13" ht="14.25">
      <c r="A114" s="278">
        <v>11130</v>
      </c>
      <c r="B114" s="279" t="s">
        <v>165</v>
      </c>
      <c r="C114" s="279" t="s">
        <v>139</v>
      </c>
      <c r="D114" s="279" t="s">
        <v>140</v>
      </c>
      <c r="E114" s="280">
        <v>2.25</v>
      </c>
      <c r="F114" s="280" t="s">
        <v>119</v>
      </c>
      <c r="G114" s="280">
        <v>0</v>
      </c>
      <c r="H114" s="280">
        <v>0</v>
      </c>
      <c r="I114" s="280">
        <v>2</v>
      </c>
      <c r="J114" s="280">
        <v>0</v>
      </c>
      <c r="K114" s="280">
        <v>2</v>
      </c>
      <c r="L114" s="280">
        <v>2</v>
      </c>
      <c r="M114" s="281">
        <v>4.5</v>
      </c>
    </row>
    <row r="115" spans="1:13" ht="14.25">
      <c r="A115" s="274">
        <v>11130</v>
      </c>
      <c r="B115" s="275" t="s">
        <v>165</v>
      </c>
      <c r="C115" s="275" t="s">
        <v>139</v>
      </c>
      <c r="D115" s="275" t="s">
        <v>140</v>
      </c>
      <c r="E115" s="276">
        <v>2.25</v>
      </c>
      <c r="F115" s="276" t="s">
        <v>122</v>
      </c>
      <c r="G115" s="276">
        <v>0</v>
      </c>
      <c r="H115" s="276">
        <v>10</v>
      </c>
      <c r="I115" s="276">
        <v>12</v>
      </c>
      <c r="J115" s="276">
        <v>0</v>
      </c>
      <c r="K115" s="276">
        <v>22</v>
      </c>
      <c r="L115" s="276">
        <v>12</v>
      </c>
      <c r="M115" s="277">
        <v>27</v>
      </c>
    </row>
    <row r="116" spans="1:13" ht="14.25">
      <c r="A116" s="278">
        <v>11130</v>
      </c>
      <c r="B116" s="279" t="s">
        <v>165</v>
      </c>
      <c r="C116" s="279" t="s">
        <v>77</v>
      </c>
      <c r="D116" s="279" t="s">
        <v>78</v>
      </c>
      <c r="E116" s="280">
        <v>2.25</v>
      </c>
      <c r="F116" s="280" t="s">
        <v>119</v>
      </c>
      <c r="G116" s="280">
        <v>0</v>
      </c>
      <c r="H116" s="280">
        <v>0</v>
      </c>
      <c r="I116" s="280">
        <v>6</v>
      </c>
      <c r="J116" s="280">
        <v>0</v>
      </c>
      <c r="K116" s="280">
        <v>6</v>
      </c>
      <c r="L116" s="280">
        <v>6</v>
      </c>
      <c r="M116" s="281">
        <v>13.5</v>
      </c>
    </row>
    <row r="117" spans="1:13" ht="14.25">
      <c r="A117" s="274">
        <v>11130</v>
      </c>
      <c r="B117" s="275" t="s">
        <v>165</v>
      </c>
      <c r="C117" s="275" t="s">
        <v>77</v>
      </c>
      <c r="D117" s="275" t="s">
        <v>78</v>
      </c>
      <c r="E117" s="276">
        <v>2.25</v>
      </c>
      <c r="F117" s="276" t="s">
        <v>122</v>
      </c>
      <c r="G117" s="276">
        <v>0</v>
      </c>
      <c r="H117" s="276">
        <v>9</v>
      </c>
      <c r="I117" s="276">
        <v>19</v>
      </c>
      <c r="J117" s="276">
        <v>0</v>
      </c>
      <c r="K117" s="276">
        <v>28</v>
      </c>
      <c r="L117" s="276">
        <v>19</v>
      </c>
      <c r="M117" s="277">
        <v>42.75</v>
      </c>
    </row>
    <row r="118" spans="1:13" ht="14.25">
      <c r="A118" s="278">
        <v>11130</v>
      </c>
      <c r="B118" s="279" t="s">
        <v>165</v>
      </c>
      <c r="C118" s="279" t="s">
        <v>145</v>
      </c>
      <c r="D118" s="279" t="s">
        <v>146</v>
      </c>
      <c r="E118" s="280">
        <v>1.65</v>
      </c>
      <c r="F118" s="280" t="s">
        <v>119</v>
      </c>
      <c r="G118" s="280">
        <v>0</v>
      </c>
      <c r="H118" s="280">
        <v>0</v>
      </c>
      <c r="I118" s="280">
        <v>2</v>
      </c>
      <c r="J118" s="280">
        <v>0</v>
      </c>
      <c r="K118" s="280">
        <v>2</v>
      </c>
      <c r="L118" s="280">
        <v>2</v>
      </c>
      <c r="M118" s="281">
        <v>3.3</v>
      </c>
    </row>
    <row r="119" spans="1:13" ht="14.25">
      <c r="A119" s="274">
        <v>11130</v>
      </c>
      <c r="B119" s="275" t="s">
        <v>165</v>
      </c>
      <c r="C119" s="275" t="s">
        <v>145</v>
      </c>
      <c r="D119" s="275" t="s">
        <v>146</v>
      </c>
      <c r="E119" s="276">
        <v>1.65</v>
      </c>
      <c r="F119" s="276" t="s">
        <v>122</v>
      </c>
      <c r="G119" s="276">
        <v>0</v>
      </c>
      <c r="H119" s="276">
        <v>5</v>
      </c>
      <c r="I119" s="276">
        <v>3</v>
      </c>
      <c r="J119" s="276">
        <v>0</v>
      </c>
      <c r="K119" s="276">
        <v>8</v>
      </c>
      <c r="L119" s="276">
        <v>3</v>
      </c>
      <c r="M119" s="277">
        <v>4.95</v>
      </c>
    </row>
    <row r="120" spans="1:13" ht="14.25">
      <c r="A120" s="278">
        <v>11130</v>
      </c>
      <c r="B120" s="279" t="s">
        <v>165</v>
      </c>
      <c r="C120" s="279" t="s">
        <v>13</v>
      </c>
      <c r="D120" s="279" t="s">
        <v>14</v>
      </c>
      <c r="E120" s="280">
        <v>2.8</v>
      </c>
      <c r="F120" s="280" t="s">
        <v>119</v>
      </c>
      <c r="G120" s="280">
        <v>0</v>
      </c>
      <c r="H120" s="280">
        <v>4</v>
      </c>
      <c r="I120" s="280">
        <v>8</v>
      </c>
      <c r="J120" s="280">
        <v>0</v>
      </c>
      <c r="K120" s="280">
        <v>12</v>
      </c>
      <c r="L120" s="280">
        <v>8</v>
      </c>
      <c r="M120" s="281">
        <v>22.4</v>
      </c>
    </row>
    <row r="121" spans="1:13" ht="14.25">
      <c r="A121" s="274">
        <v>11130</v>
      </c>
      <c r="B121" s="275" t="s">
        <v>165</v>
      </c>
      <c r="C121" s="275" t="s">
        <v>13</v>
      </c>
      <c r="D121" s="275" t="s">
        <v>14</v>
      </c>
      <c r="E121" s="276">
        <v>2.8</v>
      </c>
      <c r="F121" s="276" t="s">
        <v>122</v>
      </c>
      <c r="G121" s="276">
        <v>0</v>
      </c>
      <c r="H121" s="276">
        <v>18</v>
      </c>
      <c r="I121" s="276">
        <v>36</v>
      </c>
      <c r="J121" s="276">
        <v>0</v>
      </c>
      <c r="K121" s="276">
        <v>54</v>
      </c>
      <c r="L121" s="276">
        <v>36</v>
      </c>
      <c r="M121" s="277">
        <v>100.8</v>
      </c>
    </row>
    <row r="122" spans="1:13" ht="14.25">
      <c r="A122" s="278">
        <v>11130</v>
      </c>
      <c r="B122" s="279" t="s">
        <v>165</v>
      </c>
      <c r="C122" s="279" t="s">
        <v>15</v>
      </c>
      <c r="D122" s="279" t="s">
        <v>16</v>
      </c>
      <c r="E122" s="280">
        <v>2.25</v>
      </c>
      <c r="F122" s="280" t="s">
        <v>119</v>
      </c>
      <c r="G122" s="280">
        <v>0</v>
      </c>
      <c r="H122" s="280">
        <v>0</v>
      </c>
      <c r="I122" s="280">
        <v>12</v>
      </c>
      <c r="J122" s="280">
        <v>0</v>
      </c>
      <c r="K122" s="280">
        <v>12</v>
      </c>
      <c r="L122" s="280">
        <v>12</v>
      </c>
      <c r="M122" s="281">
        <v>27</v>
      </c>
    </row>
    <row r="123" spans="1:13" ht="14.25">
      <c r="A123" s="274">
        <v>11130</v>
      </c>
      <c r="B123" s="275" t="s">
        <v>165</v>
      </c>
      <c r="C123" s="275" t="s">
        <v>15</v>
      </c>
      <c r="D123" s="275" t="s">
        <v>16</v>
      </c>
      <c r="E123" s="276">
        <v>2.25</v>
      </c>
      <c r="F123" s="276" t="s">
        <v>122</v>
      </c>
      <c r="G123" s="276">
        <v>0</v>
      </c>
      <c r="H123" s="276">
        <v>24</v>
      </c>
      <c r="I123" s="276">
        <v>37</v>
      </c>
      <c r="J123" s="276">
        <v>0</v>
      </c>
      <c r="K123" s="276">
        <v>61</v>
      </c>
      <c r="L123" s="276">
        <v>37</v>
      </c>
      <c r="M123" s="277">
        <v>83.25</v>
      </c>
    </row>
    <row r="124" spans="1:13" ht="14.25">
      <c r="A124" s="278">
        <v>11130</v>
      </c>
      <c r="B124" s="279" t="s">
        <v>165</v>
      </c>
      <c r="C124" s="279" t="s">
        <v>149</v>
      </c>
      <c r="D124" s="279" t="s">
        <v>150</v>
      </c>
      <c r="E124" s="280">
        <v>2.8</v>
      </c>
      <c r="F124" s="280" t="s">
        <v>119</v>
      </c>
      <c r="G124" s="280">
        <v>0</v>
      </c>
      <c r="H124" s="280">
        <v>1</v>
      </c>
      <c r="I124" s="280">
        <v>11</v>
      </c>
      <c r="J124" s="280">
        <v>0</v>
      </c>
      <c r="K124" s="280">
        <v>12</v>
      </c>
      <c r="L124" s="280">
        <v>11</v>
      </c>
      <c r="M124" s="281">
        <v>30.8</v>
      </c>
    </row>
    <row r="125" spans="1:13" ht="14.25">
      <c r="A125" s="274">
        <v>11130</v>
      </c>
      <c r="B125" s="275" t="s">
        <v>165</v>
      </c>
      <c r="C125" s="275" t="s">
        <v>149</v>
      </c>
      <c r="D125" s="275" t="s">
        <v>150</v>
      </c>
      <c r="E125" s="276">
        <v>2.8</v>
      </c>
      <c r="F125" s="276" t="s">
        <v>122</v>
      </c>
      <c r="G125" s="276">
        <v>0</v>
      </c>
      <c r="H125" s="276">
        <v>29</v>
      </c>
      <c r="I125" s="276">
        <v>30</v>
      </c>
      <c r="J125" s="276">
        <v>0</v>
      </c>
      <c r="K125" s="276">
        <v>59</v>
      </c>
      <c r="L125" s="276">
        <v>30</v>
      </c>
      <c r="M125" s="277">
        <v>84</v>
      </c>
    </row>
    <row r="126" spans="1:13" ht="14.25">
      <c r="A126" s="278">
        <v>11130</v>
      </c>
      <c r="B126" s="279" t="s">
        <v>165</v>
      </c>
      <c r="C126" s="279" t="s">
        <v>151</v>
      </c>
      <c r="D126" s="279" t="s">
        <v>152</v>
      </c>
      <c r="E126" s="280">
        <v>2.8</v>
      </c>
      <c r="F126" s="280" t="s">
        <v>119</v>
      </c>
      <c r="G126" s="280">
        <v>0</v>
      </c>
      <c r="H126" s="280">
        <v>0</v>
      </c>
      <c r="I126" s="280">
        <v>3</v>
      </c>
      <c r="J126" s="280">
        <v>0</v>
      </c>
      <c r="K126" s="280">
        <v>3</v>
      </c>
      <c r="L126" s="280">
        <v>3</v>
      </c>
      <c r="M126" s="281">
        <v>8.4</v>
      </c>
    </row>
    <row r="127" spans="1:13" ht="14.25">
      <c r="A127" s="274">
        <v>11130</v>
      </c>
      <c r="B127" s="275" t="s">
        <v>165</v>
      </c>
      <c r="C127" s="275" t="s">
        <v>151</v>
      </c>
      <c r="D127" s="275" t="s">
        <v>152</v>
      </c>
      <c r="E127" s="276">
        <v>2.8</v>
      </c>
      <c r="F127" s="276" t="s">
        <v>122</v>
      </c>
      <c r="G127" s="276">
        <v>0</v>
      </c>
      <c r="H127" s="276">
        <v>3</v>
      </c>
      <c r="I127" s="276">
        <v>12</v>
      </c>
      <c r="J127" s="276">
        <v>0</v>
      </c>
      <c r="K127" s="276">
        <v>15</v>
      </c>
      <c r="L127" s="276">
        <v>12</v>
      </c>
      <c r="M127" s="277">
        <v>33.6</v>
      </c>
    </row>
    <row r="128" spans="1:13" ht="14.25">
      <c r="A128" s="278">
        <v>11130</v>
      </c>
      <c r="B128" s="279" t="s">
        <v>165</v>
      </c>
      <c r="C128" s="279" t="s">
        <v>153</v>
      </c>
      <c r="D128" s="279" t="s">
        <v>154</v>
      </c>
      <c r="E128" s="280">
        <v>2.8</v>
      </c>
      <c r="F128" s="280" t="s">
        <v>122</v>
      </c>
      <c r="G128" s="280">
        <v>0</v>
      </c>
      <c r="H128" s="280">
        <v>4</v>
      </c>
      <c r="I128" s="280">
        <v>3</v>
      </c>
      <c r="J128" s="280">
        <v>0</v>
      </c>
      <c r="K128" s="280">
        <v>7</v>
      </c>
      <c r="L128" s="280">
        <v>3</v>
      </c>
      <c r="M128" s="281">
        <v>8.4</v>
      </c>
    </row>
    <row r="129" spans="1:13" ht="14.25">
      <c r="A129" s="274">
        <v>11130</v>
      </c>
      <c r="B129" s="275" t="s">
        <v>165</v>
      </c>
      <c r="C129" s="275" t="s">
        <v>157</v>
      </c>
      <c r="D129" s="275" t="s">
        <v>158</v>
      </c>
      <c r="E129" s="276">
        <v>2.8</v>
      </c>
      <c r="F129" s="276" t="s">
        <v>119</v>
      </c>
      <c r="G129" s="276">
        <v>0</v>
      </c>
      <c r="H129" s="276">
        <v>0</v>
      </c>
      <c r="I129" s="276">
        <v>4</v>
      </c>
      <c r="J129" s="276">
        <v>0</v>
      </c>
      <c r="K129" s="276">
        <v>4</v>
      </c>
      <c r="L129" s="276">
        <v>4</v>
      </c>
      <c r="M129" s="277">
        <v>11.2</v>
      </c>
    </row>
    <row r="130" spans="1:13" ht="14.25">
      <c r="A130" s="278">
        <v>11130</v>
      </c>
      <c r="B130" s="279" t="s">
        <v>165</v>
      </c>
      <c r="C130" s="279" t="s">
        <v>157</v>
      </c>
      <c r="D130" s="279" t="s">
        <v>158</v>
      </c>
      <c r="E130" s="280">
        <v>2.8</v>
      </c>
      <c r="F130" s="280" t="s">
        <v>122</v>
      </c>
      <c r="G130" s="280">
        <v>0</v>
      </c>
      <c r="H130" s="280">
        <v>2</v>
      </c>
      <c r="I130" s="280">
        <v>4</v>
      </c>
      <c r="J130" s="280">
        <v>0</v>
      </c>
      <c r="K130" s="280">
        <v>6</v>
      </c>
      <c r="L130" s="280">
        <v>4</v>
      </c>
      <c r="M130" s="281">
        <v>11.2</v>
      </c>
    </row>
    <row r="131" spans="1:13" ht="14.25">
      <c r="A131" s="274">
        <v>11130</v>
      </c>
      <c r="B131" s="275" t="s">
        <v>165</v>
      </c>
      <c r="C131" s="275" t="s">
        <v>161</v>
      </c>
      <c r="D131" s="275" t="s">
        <v>162</v>
      </c>
      <c r="E131" s="276">
        <v>2.25</v>
      </c>
      <c r="F131" s="276" t="s">
        <v>122</v>
      </c>
      <c r="G131" s="276">
        <v>0</v>
      </c>
      <c r="H131" s="276">
        <v>0</v>
      </c>
      <c r="I131" s="276">
        <v>1</v>
      </c>
      <c r="J131" s="276">
        <v>0</v>
      </c>
      <c r="K131" s="276">
        <v>1</v>
      </c>
      <c r="L131" s="276">
        <v>1</v>
      </c>
      <c r="M131" s="277">
        <v>2.25</v>
      </c>
    </row>
    <row r="132" spans="1:13" ht="9.75">
      <c r="A132" s="282">
        <v>11130</v>
      </c>
      <c r="B132" s="283" t="s">
        <v>163</v>
      </c>
      <c r="C132" s="283"/>
      <c r="D132" s="283"/>
      <c r="E132" s="283"/>
      <c r="F132" s="284" t="s">
        <v>132</v>
      </c>
      <c r="G132" s="284">
        <v>34</v>
      </c>
      <c r="H132" s="284">
        <v>0</v>
      </c>
      <c r="I132" s="284">
        <v>30</v>
      </c>
      <c r="J132" s="284">
        <v>0</v>
      </c>
      <c r="K132" s="284">
        <v>64</v>
      </c>
      <c r="L132" s="545"/>
      <c r="M132" s="546"/>
    </row>
    <row r="133" spans="1:13" ht="9.75">
      <c r="A133" s="282">
        <v>11130</v>
      </c>
      <c r="B133" s="283" t="s">
        <v>163</v>
      </c>
      <c r="C133" s="283"/>
      <c r="D133" s="283"/>
      <c r="E133" s="283"/>
      <c r="F133" s="284" t="s">
        <v>109</v>
      </c>
      <c r="G133" s="284">
        <v>0</v>
      </c>
      <c r="H133" s="284">
        <v>10</v>
      </c>
      <c r="I133" s="284">
        <v>91</v>
      </c>
      <c r="J133" s="284">
        <v>1</v>
      </c>
      <c r="K133" s="284">
        <v>102</v>
      </c>
      <c r="L133" s="545"/>
      <c r="M133" s="546"/>
    </row>
    <row r="134" spans="1:13" ht="9.75">
      <c r="A134" s="282">
        <v>11130</v>
      </c>
      <c r="B134" s="283" t="s">
        <v>163</v>
      </c>
      <c r="C134" s="283"/>
      <c r="D134" s="283"/>
      <c r="E134" s="283"/>
      <c r="F134" s="284" t="s">
        <v>110</v>
      </c>
      <c r="G134" s="284">
        <v>138</v>
      </c>
      <c r="H134" s="284">
        <v>0</v>
      </c>
      <c r="I134" s="284">
        <v>37</v>
      </c>
      <c r="J134" s="284">
        <v>0</v>
      </c>
      <c r="K134" s="284">
        <v>175</v>
      </c>
      <c r="L134" s="545"/>
      <c r="M134" s="546"/>
    </row>
    <row r="135" spans="1:13" ht="9.75">
      <c r="A135" s="282">
        <v>11130</v>
      </c>
      <c r="B135" s="283" t="s">
        <v>163</v>
      </c>
      <c r="C135" s="283"/>
      <c r="D135" s="283"/>
      <c r="E135" s="283"/>
      <c r="F135" s="284" t="s">
        <v>113</v>
      </c>
      <c r="G135" s="284">
        <v>0</v>
      </c>
      <c r="H135" s="284">
        <v>15</v>
      </c>
      <c r="I135" s="284">
        <v>778</v>
      </c>
      <c r="J135" s="284">
        <v>4</v>
      </c>
      <c r="K135" s="284">
        <v>797</v>
      </c>
      <c r="L135" s="545"/>
      <c r="M135" s="546"/>
    </row>
    <row r="136" spans="1:13" ht="9.75">
      <c r="A136" s="282">
        <v>11130</v>
      </c>
      <c r="B136" s="283" t="s">
        <v>163</v>
      </c>
      <c r="C136" s="283"/>
      <c r="D136" s="283"/>
      <c r="E136" s="283"/>
      <c r="F136" s="284" t="s">
        <v>116</v>
      </c>
      <c r="G136" s="284">
        <v>0</v>
      </c>
      <c r="H136" s="284">
        <v>0</v>
      </c>
      <c r="I136" s="284">
        <v>26</v>
      </c>
      <c r="J136" s="284">
        <v>0</v>
      </c>
      <c r="K136" s="284">
        <v>26</v>
      </c>
      <c r="L136" s="545"/>
      <c r="M136" s="546"/>
    </row>
    <row r="137" spans="1:13" ht="9.75">
      <c r="A137" s="282">
        <v>11130</v>
      </c>
      <c r="B137" s="283" t="s">
        <v>163</v>
      </c>
      <c r="C137" s="283"/>
      <c r="D137" s="283"/>
      <c r="E137" s="283"/>
      <c r="F137" s="284" t="s">
        <v>114</v>
      </c>
      <c r="G137" s="284">
        <v>0</v>
      </c>
      <c r="H137" s="284">
        <v>1</v>
      </c>
      <c r="I137" s="284">
        <v>37</v>
      </c>
      <c r="J137" s="284">
        <v>0</v>
      </c>
      <c r="K137" s="284">
        <v>38</v>
      </c>
      <c r="L137" s="545"/>
      <c r="M137" s="546"/>
    </row>
    <row r="138" spans="1:13" ht="9.75">
      <c r="A138" s="282">
        <v>11130</v>
      </c>
      <c r="B138" s="283" t="s">
        <v>163</v>
      </c>
      <c r="C138" s="283"/>
      <c r="D138" s="283"/>
      <c r="E138" s="283"/>
      <c r="F138" s="284" t="s">
        <v>119</v>
      </c>
      <c r="G138" s="284">
        <v>0</v>
      </c>
      <c r="H138" s="284">
        <v>5</v>
      </c>
      <c r="I138" s="284">
        <v>54</v>
      </c>
      <c r="J138" s="284">
        <v>0</v>
      </c>
      <c r="K138" s="284">
        <v>59</v>
      </c>
      <c r="L138" s="545"/>
      <c r="M138" s="546"/>
    </row>
    <row r="139" spans="1:13" ht="9.75">
      <c r="A139" s="282">
        <v>11130</v>
      </c>
      <c r="B139" s="283" t="s">
        <v>163</v>
      </c>
      <c r="C139" s="283"/>
      <c r="D139" s="283"/>
      <c r="E139" s="283"/>
      <c r="F139" s="284" t="s">
        <v>122</v>
      </c>
      <c r="G139" s="284">
        <v>0</v>
      </c>
      <c r="H139" s="284">
        <v>115</v>
      </c>
      <c r="I139" s="284">
        <v>167</v>
      </c>
      <c r="J139" s="284">
        <v>0</v>
      </c>
      <c r="K139" s="284">
        <v>282</v>
      </c>
      <c r="L139" s="545"/>
      <c r="M139" s="546"/>
    </row>
    <row r="140" spans="1:13" ht="14.25">
      <c r="A140" s="278">
        <v>11140</v>
      </c>
      <c r="B140" s="279" t="s">
        <v>118</v>
      </c>
      <c r="C140" s="279" t="s">
        <v>9</v>
      </c>
      <c r="D140" s="279" t="s">
        <v>10</v>
      </c>
      <c r="E140" s="280">
        <v>2.8</v>
      </c>
      <c r="F140" s="280" t="s">
        <v>110</v>
      </c>
      <c r="G140" s="280">
        <v>160</v>
      </c>
      <c r="H140" s="280">
        <v>6</v>
      </c>
      <c r="I140" s="280">
        <v>83</v>
      </c>
      <c r="J140" s="280">
        <v>1</v>
      </c>
      <c r="K140" s="280">
        <v>250</v>
      </c>
      <c r="L140" s="280">
        <v>243.5</v>
      </c>
      <c r="M140" s="281">
        <v>681.8</v>
      </c>
    </row>
    <row r="141" spans="1:13" ht="14.25">
      <c r="A141" s="274">
        <v>11140</v>
      </c>
      <c r="B141" s="275" t="s">
        <v>118</v>
      </c>
      <c r="C141" s="275" t="s">
        <v>9</v>
      </c>
      <c r="D141" s="275" t="s">
        <v>10</v>
      </c>
      <c r="E141" s="276">
        <v>2.8</v>
      </c>
      <c r="F141" s="276" t="s">
        <v>113</v>
      </c>
      <c r="G141" s="276">
        <v>0</v>
      </c>
      <c r="H141" s="276">
        <v>56</v>
      </c>
      <c r="I141" s="276">
        <v>921</v>
      </c>
      <c r="J141" s="276">
        <v>12</v>
      </c>
      <c r="K141" s="276">
        <v>989</v>
      </c>
      <c r="L141" s="276">
        <v>927</v>
      </c>
      <c r="M141" s="277">
        <v>2595.6</v>
      </c>
    </row>
    <row r="142" spans="1:13" ht="14.25">
      <c r="A142" s="278">
        <v>11140</v>
      </c>
      <c r="B142" s="279" t="s">
        <v>118</v>
      </c>
      <c r="C142" s="279" t="s">
        <v>11</v>
      </c>
      <c r="D142" s="279" t="s">
        <v>12</v>
      </c>
      <c r="E142" s="280">
        <v>3.5</v>
      </c>
      <c r="F142" s="280" t="s">
        <v>110</v>
      </c>
      <c r="G142" s="280">
        <v>36</v>
      </c>
      <c r="H142" s="280">
        <v>0</v>
      </c>
      <c r="I142" s="280">
        <v>20</v>
      </c>
      <c r="J142" s="280">
        <v>0</v>
      </c>
      <c r="K142" s="280">
        <v>56</v>
      </c>
      <c r="L142" s="280">
        <v>56</v>
      </c>
      <c r="M142" s="281">
        <v>196</v>
      </c>
    </row>
    <row r="143" spans="1:13" ht="14.25">
      <c r="A143" s="274">
        <v>11140</v>
      </c>
      <c r="B143" s="275" t="s">
        <v>118</v>
      </c>
      <c r="C143" s="275" t="s">
        <v>11</v>
      </c>
      <c r="D143" s="275" t="s">
        <v>12</v>
      </c>
      <c r="E143" s="276">
        <v>3.5</v>
      </c>
      <c r="F143" s="276" t="s">
        <v>113</v>
      </c>
      <c r="G143" s="276">
        <v>0</v>
      </c>
      <c r="H143" s="276">
        <v>12</v>
      </c>
      <c r="I143" s="276">
        <v>163</v>
      </c>
      <c r="J143" s="276">
        <v>3</v>
      </c>
      <c r="K143" s="276">
        <v>178</v>
      </c>
      <c r="L143" s="276">
        <v>164.5</v>
      </c>
      <c r="M143" s="277">
        <v>575.75</v>
      </c>
    </row>
    <row r="144" spans="1:13" ht="14.25">
      <c r="A144" s="278">
        <v>11140</v>
      </c>
      <c r="B144" s="279" t="s">
        <v>118</v>
      </c>
      <c r="C144" s="279" t="s">
        <v>135</v>
      </c>
      <c r="D144" s="279" t="s">
        <v>136</v>
      </c>
      <c r="E144" s="280">
        <v>2.8</v>
      </c>
      <c r="F144" s="280" t="s">
        <v>122</v>
      </c>
      <c r="G144" s="280">
        <v>0</v>
      </c>
      <c r="H144" s="280">
        <v>2</v>
      </c>
      <c r="I144" s="280">
        <v>4</v>
      </c>
      <c r="J144" s="280">
        <v>0</v>
      </c>
      <c r="K144" s="280">
        <v>6</v>
      </c>
      <c r="L144" s="280">
        <v>4</v>
      </c>
      <c r="M144" s="281">
        <v>11.2</v>
      </c>
    </row>
    <row r="145" spans="1:13" ht="14.25">
      <c r="A145" s="274">
        <v>11140</v>
      </c>
      <c r="B145" s="275" t="s">
        <v>118</v>
      </c>
      <c r="C145" s="275" t="s">
        <v>120</v>
      </c>
      <c r="D145" s="275" t="s">
        <v>121</v>
      </c>
      <c r="E145" s="276">
        <v>2.8</v>
      </c>
      <c r="F145" s="276" t="s">
        <v>122</v>
      </c>
      <c r="G145" s="276">
        <v>0</v>
      </c>
      <c r="H145" s="276">
        <v>0</v>
      </c>
      <c r="I145" s="276">
        <v>4</v>
      </c>
      <c r="J145" s="276">
        <v>0</v>
      </c>
      <c r="K145" s="276">
        <v>4</v>
      </c>
      <c r="L145" s="276">
        <v>4</v>
      </c>
      <c r="M145" s="277">
        <v>11.2</v>
      </c>
    </row>
    <row r="146" spans="1:13" ht="14.25">
      <c r="A146" s="278">
        <v>11140</v>
      </c>
      <c r="B146" s="279" t="s">
        <v>118</v>
      </c>
      <c r="C146" s="279" t="s">
        <v>25</v>
      </c>
      <c r="D146" s="279" t="s">
        <v>26</v>
      </c>
      <c r="E146" s="280">
        <v>2.8</v>
      </c>
      <c r="F146" s="280" t="s">
        <v>119</v>
      </c>
      <c r="G146" s="280">
        <v>0</v>
      </c>
      <c r="H146" s="280">
        <v>0</v>
      </c>
      <c r="I146" s="280">
        <v>9</v>
      </c>
      <c r="J146" s="280">
        <v>0</v>
      </c>
      <c r="K146" s="280">
        <v>9</v>
      </c>
      <c r="L146" s="280">
        <v>9</v>
      </c>
      <c r="M146" s="281">
        <v>25.2</v>
      </c>
    </row>
    <row r="147" spans="1:13" ht="14.25">
      <c r="A147" s="274">
        <v>11140</v>
      </c>
      <c r="B147" s="275" t="s">
        <v>118</v>
      </c>
      <c r="C147" s="275" t="s">
        <v>25</v>
      </c>
      <c r="D147" s="275" t="s">
        <v>26</v>
      </c>
      <c r="E147" s="276">
        <v>2.8</v>
      </c>
      <c r="F147" s="276" t="s">
        <v>122</v>
      </c>
      <c r="G147" s="276">
        <v>0</v>
      </c>
      <c r="H147" s="276">
        <v>3</v>
      </c>
      <c r="I147" s="276">
        <v>8</v>
      </c>
      <c r="J147" s="276">
        <v>0</v>
      </c>
      <c r="K147" s="276">
        <v>11</v>
      </c>
      <c r="L147" s="276">
        <v>8</v>
      </c>
      <c r="M147" s="277">
        <v>22.4</v>
      </c>
    </row>
    <row r="148" spans="1:13" ht="14.25">
      <c r="A148" s="278">
        <v>11140</v>
      </c>
      <c r="B148" s="279" t="s">
        <v>118</v>
      </c>
      <c r="C148" s="279" t="s">
        <v>170</v>
      </c>
      <c r="D148" s="279" t="s">
        <v>171</v>
      </c>
      <c r="E148" s="280">
        <v>2.8</v>
      </c>
      <c r="F148" s="280" t="s">
        <v>119</v>
      </c>
      <c r="G148" s="280">
        <v>0</v>
      </c>
      <c r="H148" s="280">
        <v>0</v>
      </c>
      <c r="I148" s="280">
        <v>2</v>
      </c>
      <c r="J148" s="280">
        <v>0</v>
      </c>
      <c r="K148" s="280">
        <v>2</v>
      </c>
      <c r="L148" s="280">
        <v>2</v>
      </c>
      <c r="M148" s="281">
        <v>5.6</v>
      </c>
    </row>
    <row r="149" spans="1:13" ht="14.25">
      <c r="A149" s="274">
        <v>11140</v>
      </c>
      <c r="B149" s="275" t="s">
        <v>118</v>
      </c>
      <c r="C149" s="275" t="s">
        <v>170</v>
      </c>
      <c r="D149" s="275" t="s">
        <v>171</v>
      </c>
      <c r="E149" s="276">
        <v>2.8</v>
      </c>
      <c r="F149" s="276" t="s">
        <v>122</v>
      </c>
      <c r="G149" s="276">
        <v>0</v>
      </c>
      <c r="H149" s="276">
        <v>1</v>
      </c>
      <c r="I149" s="276">
        <v>9</v>
      </c>
      <c r="J149" s="276">
        <v>0</v>
      </c>
      <c r="K149" s="276">
        <v>10</v>
      </c>
      <c r="L149" s="276">
        <v>9</v>
      </c>
      <c r="M149" s="277">
        <v>25.2</v>
      </c>
    </row>
    <row r="150" spans="1:13" ht="14.25">
      <c r="A150" s="278">
        <v>11140</v>
      </c>
      <c r="B150" s="279" t="s">
        <v>118</v>
      </c>
      <c r="C150" s="279" t="s">
        <v>172</v>
      </c>
      <c r="D150" s="279" t="s">
        <v>173</v>
      </c>
      <c r="E150" s="280">
        <v>2.8</v>
      </c>
      <c r="F150" s="280" t="s">
        <v>119</v>
      </c>
      <c r="G150" s="280">
        <v>0</v>
      </c>
      <c r="H150" s="280">
        <v>1</v>
      </c>
      <c r="I150" s="280">
        <v>2</v>
      </c>
      <c r="J150" s="280">
        <v>0</v>
      </c>
      <c r="K150" s="280">
        <v>3</v>
      </c>
      <c r="L150" s="280">
        <v>2</v>
      </c>
      <c r="M150" s="281">
        <v>5.6</v>
      </c>
    </row>
    <row r="151" spans="1:13" ht="14.25">
      <c r="A151" s="274">
        <v>11140</v>
      </c>
      <c r="B151" s="275" t="s">
        <v>118</v>
      </c>
      <c r="C151" s="275" t="s">
        <v>172</v>
      </c>
      <c r="D151" s="275" t="s">
        <v>173</v>
      </c>
      <c r="E151" s="276">
        <v>2.8</v>
      </c>
      <c r="F151" s="276" t="s">
        <v>122</v>
      </c>
      <c r="G151" s="276">
        <v>0</v>
      </c>
      <c r="H151" s="276">
        <v>1</v>
      </c>
      <c r="I151" s="276">
        <v>10</v>
      </c>
      <c r="J151" s="276">
        <v>0</v>
      </c>
      <c r="K151" s="276">
        <v>11</v>
      </c>
      <c r="L151" s="276">
        <v>10</v>
      </c>
      <c r="M151" s="277">
        <v>28</v>
      </c>
    </row>
    <row r="152" spans="1:13" ht="14.25">
      <c r="A152" s="278">
        <v>11140</v>
      </c>
      <c r="B152" s="279" t="s">
        <v>118</v>
      </c>
      <c r="C152" s="279" t="s">
        <v>174</v>
      </c>
      <c r="D152" s="279" t="s">
        <v>175</v>
      </c>
      <c r="E152" s="280">
        <v>2.8</v>
      </c>
      <c r="F152" s="280" t="s">
        <v>122</v>
      </c>
      <c r="G152" s="280">
        <v>0</v>
      </c>
      <c r="H152" s="280">
        <v>5</v>
      </c>
      <c r="I152" s="280">
        <v>6</v>
      </c>
      <c r="J152" s="280">
        <v>0</v>
      </c>
      <c r="K152" s="280">
        <v>11</v>
      </c>
      <c r="L152" s="280">
        <v>6</v>
      </c>
      <c r="M152" s="281">
        <v>16.8</v>
      </c>
    </row>
    <row r="153" spans="1:13" ht="14.25">
      <c r="A153" s="274">
        <v>11140</v>
      </c>
      <c r="B153" s="275" t="s">
        <v>118</v>
      </c>
      <c r="C153" s="275" t="s">
        <v>27</v>
      </c>
      <c r="D153" s="275" t="s">
        <v>28</v>
      </c>
      <c r="E153" s="276">
        <v>2.8</v>
      </c>
      <c r="F153" s="276" t="s">
        <v>119</v>
      </c>
      <c r="G153" s="276">
        <v>0</v>
      </c>
      <c r="H153" s="276">
        <v>0</v>
      </c>
      <c r="I153" s="276">
        <v>6</v>
      </c>
      <c r="J153" s="276">
        <v>0</v>
      </c>
      <c r="K153" s="276">
        <v>6</v>
      </c>
      <c r="L153" s="276">
        <v>6</v>
      </c>
      <c r="M153" s="277">
        <v>16.8</v>
      </c>
    </row>
    <row r="154" spans="1:13" ht="14.25">
      <c r="A154" s="278">
        <v>11140</v>
      </c>
      <c r="B154" s="279" t="s">
        <v>118</v>
      </c>
      <c r="C154" s="279" t="s">
        <v>27</v>
      </c>
      <c r="D154" s="279" t="s">
        <v>28</v>
      </c>
      <c r="E154" s="280">
        <v>2.8</v>
      </c>
      <c r="F154" s="280" t="s">
        <v>122</v>
      </c>
      <c r="G154" s="280">
        <v>0</v>
      </c>
      <c r="H154" s="280">
        <v>4</v>
      </c>
      <c r="I154" s="280">
        <v>16</v>
      </c>
      <c r="J154" s="280">
        <v>0</v>
      </c>
      <c r="K154" s="280">
        <v>20</v>
      </c>
      <c r="L154" s="280">
        <v>16</v>
      </c>
      <c r="M154" s="281">
        <v>44.8</v>
      </c>
    </row>
    <row r="155" spans="1:13" ht="14.25">
      <c r="A155" s="274">
        <v>11140</v>
      </c>
      <c r="B155" s="275" t="s">
        <v>118</v>
      </c>
      <c r="C155" s="275" t="s">
        <v>176</v>
      </c>
      <c r="D155" s="275" t="s">
        <v>177</v>
      </c>
      <c r="E155" s="276">
        <v>2.8</v>
      </c>
      <c r="F155" s="276" t="s">
        <v>122</v>
      </c>
      <c r="G155" s="276">
        <v>0</v>
      </c>
      <c r="H155" s="276">
        <v>0</v>
      </c>
      <c r="I155" s="276">
        <v>2</v>
      </c>
      <c r="J155" s="276">
        <v>0</v>
      </c>
      <c r="K155" s="276">
        <v>2</v>
      </c>
      <c r="L155" s="276">
        <v>2</v>
      </c>
      <c r="M155" s="277">
        <v>5.6</v>
      </c>
    </row>
    <row r="156" spans="1:13" ht="14.25">
      <c r="A156" s="278">
        <v>11140</v>
      </c>
      <c r="B156" s="279" t="s">
        <v>118</v>
      </c>
      <c r="C156" s="279" t="s">
        <v>178</v>
      </c>
      <c r="D156" s="279" t="s">
        <v>179</v>
      </c>
      <c r="E156" s="280">
        <v>2.8</v>
      </c>
      <c r="F156" s="280" t="s">
        <v>122</v>
      </c>
      <c r="G156" s="280">
        <v>0</v>
      </c>
      <c r="H156" s="280">
        <v>1</v>
      </c>
      <c r="I156" s="280">
        <v>4</v>
      </c>
      <c r="J156" s="280">
        <v>0</v>
      </c>
      <c r="K156" s="280">
        <v>5</v>
      </c>
      <c r="L156" s="280">
        <v>4</v>
      </c>
      <c r="M156" s="281">
        <v>11.2</v>
      </c>
    </row>
    <row r="157" spans="1:13" ht="14.25">
      <c r="A157" s="274">
        <v>11140</v>
      </c>
      <c r="B157" s="275" t="s">
        <v>118</v>
      </c>
      <c r="C157" s="275" t="s">
        <v>180</v>
      </c>
      <c r="D157" s="275" t="s">
        <v>181</v>
      </c>
      <c r="E157" s="276">
        <v>1</v>
      </c>
      <c r="F157" s="276" t="s">
        <v>119</v>
      </c>
      <c r="G157" s="276">
        <v>0</v>
      </c>
      <c r="H157" s="276">
        <v>0</v>
      </c>
      <c r="I157" s="276">
        <v>4</v>
      </c>
      <c r="J157" s="276">
        <v>0</v>
      </c>
      <c r="K157" s="276">
        <v>4</v>
      </c>
      <c r="L157" s="276">
        <v>4</v>
      </c>
      <c r="M157" s="277">
        <v>4</v>
      </c>
    </row>
    <row r="158" spans="1:13" ht="14.25">
      <c r="A158" s="278">
        <v>11140</v>
      </c>
      <c r="B158" s="279" t="s">
        <v>118</v>
      </c>
      <c r="C158" s="279" t="s">
        <v>180</v>
      </c>
      <c r="D158" s="279" t="s">
        <v>181</v>
      </c>
      <c r="E158" s="280">
        <v>1</v>
      </c>
      <c r="F158" s="280" t="s">
        <v>122</v>
      </c>
      <c r="G158" s="280">
        <v>0</v>
      </c>
      <c r="H158" s="280">
        <v>0</v>
      </c>
      <c r="I158" s="280">
        <v>4</v>
      </c>
      <c r="J158" s="280">
        <v>0</v>
      </c>
      <c r="K158" s="280">
        <v>4</v>
      </c>
      <c r="L158" s="280">
        <v>4</v>
      </c>
      <c r="M158" s="281">
        <v>4</v>
      </c>
    </row>
    <row r="159" spans="1:13" ht="14.25">
      <c r="A159" s="274">
        <v>11140</v>
      </c>
      <c r="B159" s="275" t="s">
        <v>118</v>
      </c>
      <c r="C159" s="275" t="s">
        <v>29</v>
      </c>
      <c r="D159" s="275" t="s">
        <v>30</v>
      </c>
      <c r="E159" s="276">
        <v>2.8</v>
      </c>
      <c r="F159" s="276" t="s">
        <v>119</v>
      </c>
      <c r="G159" s="276">
        <v>0</v>
      </c>
      <c r="H159" s="276">
        <v>0</v>
      </c>
      <c r="I159" s="276">
        <v>5</v>
      </c>
      <c r="J159" s="276">
        <v>0</v>
      </c>
      <c r="K159" s="276">
        <v>5</v>
      </c>
      <c r="L159" s="276">
        <v>5</v>
      </c>
      <c r="M159" s="277">
        <v>14</v>
      </c>
    </row>
    <row r="160" spans="1:13" ht="14.25">
      <c r="A160" s="278">
        <v>11140</v>
      </c>
      <c r="B160" s="279" t="s">
        <v>118</v>
      </c>
      <c r="C160" s="279" t="s">
        <v>29</v>
      </c>
      <c r="D160" s="279" t="s">
        <v>30</v>
      </c>
      <c r="E160" s="280">
        <v>2.8</v>
      </c>
      <c r="F160" s="280" t="s">
        <v>122</v>
      </c>
      <c r="G160" s="280">
        <v>0</v>
      </c>
      <c r="H160" s="280">
        <v>13</v>
      </c>
      <c r="I160" s="280">
        <v>16</v>
      </c>
      <c r="J160" s="280">
        <v>0</v>
      </c>
      <c r="K160" s="280">
        <v>29</v>
      </c>
      <c r="L160" s="280">
        <v>16</v>
      </c>
      <c r="M160" s="281">
        <v>44.8</v>
      </c>
    </row>
    <row r="161" spans="1:13" ht="14.25">
      <c r="A161" s="274">
        <v>11140</v>
      </c>
      <c r="B161" s="275" t="s">
        <v>118</v>
      </c>
      <c r="C161" s="275" t="s">
        <v>182</v>
      </c>
      <c r="D161" s="275" t="s">
        <v>183</v>
      </c>
      <c r="E161" s="276">
        <v>2.8</v>
      </c>
      <c r="F161" s="276" t="s">
        <v>119</v>
      </c>
      <c r="G161" s="276">
        <v>0</v>
      </c>
      <c r="H161" s="276">
        <v>0</v>
      </c>
      <c r="I161" s="276">
        <v>1</v>
      </c>
      <c r="J161" s="276">
        <v>0</v>
      </c>
      <c r="K161" s="276">
        <v>1</v>
      </c>
      <c r="L161" s="276">
        <v>1</v>
      </c>
      <c r="M161" s="277">
        <v>2.8</v>
      </c>
    </row>
    <row r="162" spans="1:13" ht="14.25">
      <c r="A162" s="278">
        <v>11140</v>
      </c>
      <c r="B162" s="279" t="s">
        <v>118</v>
      </c>
      <c r="C162" s="279" t="s">
        <v>184</v>
      </c>
      <c r="D162" s="279" t="s">
        <v>185</v>
      </c>
      <c r="E162" s="280">
        <v>2.8</v>
      </c>
      <c r="F162" s="280" t="s">
        <v>119</v>
      </c>
      <c r="G162" s="280">
        <v>0</v>
      </c>
      <c r="H162" s="280">
        <v>0</v>
      </c>
      <c r="I162" s="280">
        <v>1</v>
      </c>
      <c r="J162" s="280">
        <v>0</v>
      </c>
      <c r="K162" s="280">
        <v>1</v>
      </c>
      <c r="L162" s="280">
        <v>1</v>
      </c>
      <c r="M162" s="281">
        <v>2.8</v>
      </c>
    </row>
    <row r="163" spans="1:13" ht="14.25">
      <c r="A163" s="274">
        <v>11140</v>
      </c>
      <c r="B163" s="275" t="s">
        <v>118</v>
      </c>
      <c r="C163" s="275" t="s">
        <v>184</v>
      </c>
      <c r="D163" s="275" t="s">
        <v>185</v>
      </c>
      <c r="E163" s="276">
        <v>2.8</v>
      </c>
      <c r="F163" s="276" t="s">
        <v>122</v>
      </c>
      <c r="G163" s="276">
        <v>0</v>
      </c>
      <c r="H163" s="276">
        <v>5</v>
      </c>
      <c r="I163" s="276">
        <v>1</v>
      </c>
      <c r="J163" s="276">
        <v>0</v>
      </c>
      <c r="K163" s="276">
        <v>6</v>
      </c>
      <c r="L163" s="276">
        <v>1</v>
      </c>
      <c r="M163" s="277">
        <v>2.8</v>
      </c>
    </row>
    <row r="164" spans="1:13" ht="14.25">
      <c r="A164" s="278">
        <v>11140</v>
      </c>
      <c r="B164" s="279" t="s">
        <v>118</v>
      </c>
      <c r="C164" s="279" t="s">
        <v>186</v>
      </c>
      <c r="D164" s="279" t="s">
        <v>187</v>
      </c>
      <c r="E164" s="280">
        <v>2.8</v>
      </c>
      <c r="F164" s="280" t="s">
        <v>119</v>
      </c>
      <c r="G164" s="280">
        <v>0</v>
      </c>
      <c r="H164" s="280">
        <v>0</v>
      </c>
      <c r="I164" s="280">
        <v>2</v>
      </c>
      <c r="J164" s="280">
        <v>0</v>
      </c>
      <c r="K164" s="280">
        <v>2</v>
      </c>
      <c r="L164" s="280">
        <v>2</v>
      </c>
      <c r="M164" s="281">
        <v>5.6</v>
      </c>
    </row>
    <row r="165" spans="1:13" ht="14.25">
      <c r="A165" s="274">
        <v>11140</v>
      </c>
      <c r="B165" s="275" t="s">
        <v>118</v>
      </c>
      <c r="C165" s="275" t="s">
        <v>186</v>
      </c>
      <c r="D165" s="275" t="s">
        <v>187</v>
      </c>
      <c r="E165" s="276">
        <v>2.8</v>
      </c>
      <c r="F165" s="276" t="s">
        <v>122</v>
      </c>
      <c r="G165" s="276">
        <v>0</v>
      </c>
      <c r="H165" s="276">
        <v>1</v>
      </c>
      <c r="I165" s="276">
        <v>1</v>
      </c>
      <c r="J165" s="276">
        <v>0</v>
      </c>
      <c r="K165" s="276">
        <v>2</v>
      </c>
      <c r="L165" s="276">
        <v>1</v>
      </c>
      <c r="M165" s="277">
        <v>2.8</v>
      </c>
    </row>
    <row r="166" spans="1:13" ht="14.25">
      <c r="A166" s="278">
        <v>11140</v>
      </c>
      <c r="B166" s="279" t="s">
        <v>118</v>
      </c>
      <c r="C166" s="279" t="s">
        <v>188</v>
      </c>
      <c r="D166" s="279" t="s">
        <v>189</v>
      </c>
      <c r="E166" s="280">
        <v>2.8</v>
      </c>
      <c r="F166" s="280" t="s">
        <v>119</v>
      </c>
      <c r="G166" s="280">
        <v>0</v>
      </c>
      <c r="H166" s="280">
        <v>0</v>
      </c>
      <c r="I166" s="280">
        <v>1</v>
      </c>
      <c r="J166" s="280">
        <v>0</v>
      </c>
      <c r="K166" s="280">
        <v>1</v>
      </c>
      <c r="L166" s="280">
        <v>1</v>
      </c>
      <c r="M166" s="281">
        <v>2.8</v>
      </c>
    </row>
    <row r="167" spans="1:13" ht="14.25">
      <c r="A167" s="274">
        <v>11140</v>
      </c>
      <c r="B167" s="275" t="s">
        <v>118</v>
      </c>
      <c r="C167" s="275" t="s">
        <v>188</v>
      </c>
      <c r="D167" s="275" t="s">
        <v>189</v>
      </c>
      <c r="E167" s="276">
        <v>2.8</v>
      </c>
      <c r="F167" s="276" t="s">
        <v>122</v>
      </c>
      <c r="G167" s="276">
        <v>0</v>
      </c>
      <c r="H167" s="276">
        <v>2</v>
      </c>
      <c r="I167" s="276">
        <v>7</v>
      </c>
      <c r="J167" s="276">
        <v>0</v>
      </c>
      <c r="K167" s="276">
        <v>9</v>
      </c>
      <c r="L167" s="276">
        <v>7</v>
      </c>
      <c r="M167" s="277">
        <v>19.6</v>
      </c>
    </row>
    <row r="168" spans="1:13" ht="14.25">
      <c r="A168" s="278">
        <v>11140</v>
      </c>
      <c r="B168" s="279" t="s">
        <v>118</v>
      </c>
      <c r="C168" s="279" t="s">
        <v>190</v>
      </c>
      <c r="D168" s="279" t="s">
        <v>191</v>
      </c>
      <c r="E168" s="280">
        <v>2.8</v>
      </c>
      <c r="F168" s="280" t="s">
        <v>122</v>
      </c>
      <c r="G168" s="280">
        <v>0</v>
      </c>
      <c r="H168" s="280">
        <v>2</v>
      </c>
      <c r="I168" s="280">
        <v>0</v>
      </c>
      <c r="J168" s="280">
        <v>0</v>
      </c>
      <c r="K168" s="280">
        <v>2</v>
      </c>
      <c r="L168" s="280">
        <v>0</v>
      </c>
      <c r="M168" s="281">
        <v>0</v>
      </c>
    </row>
    <row r="169" spans="1:13" ht="14.25">
      <c r="A169" s="274">
        <v>11140</v>
      </c>
      <c r="B169" s="275" t="s">
        <v>118</v>
      </c>
      <c r="C169" s="275" t="s">
        <v>157</v>
      </c>
      <c r="D169" s="275" t="s">
        <v>158</v>
      </c>
      <c r="E169" s="276">
        <v>2.8</v>
      </c>
      <c r="F169" s="276" t="s">
        <v>122</v>
      </c>
      <c r="G169" s="276">
        <v>0</v>
      </c>
      <c r="H169" s="276">
        <v>0</v>
      </c>
      <c r="I169" s="276">
        <v>4</v>
      </c>
      <c r="J169" s="276">
        <v>0</v>
      </c>
      <c r="K169" s="276">
        <v>4</v>
      </c>
      <c r="L169" s="276">
        <v>4</v>
      </c>
      <c r="M169" s="277">
        <v>11.2</v>
      </c>
    </row>
    <row r="170" spans="1:13" ht="14.25">
      <c r="A170" s="278">
        <v>11140</v>
      </c>
      <c r="B170" s="279" t="s">
        <v>118</v>
      </c>
      <c r="C170" s="279" t="s">
        <v>659</v>
      </c>
      <c r="D170" s="279" t="s">
        <v>660</v>
      </c>
      <c r="E170" s="280">
        <v>2.8</v>
      </c>
      <c r="F170" s="280" t="s">
        <v>119</v>
      </c>
      <c r="G170" s="280">
        <v>0</v>
      </c>
      <c r="H170" s="280">
        <v>0</v>
      </c>
      <c r="I170" s="280">
        <v>3</v>
      </c>
      <c r="J170" s="280">
        <v>0</v>
      </c>
      <c r="K170" s="280">
        <v>3</v>
      </c>
      <c r="L170" s="280">
        <v>3</v>
      </c>
      <c r="M170" s="281">
        <v>8.4</v>
      </c>
    </row>
    <row r="171" spans="1:13" ht="14.25">
      <c r="A171" s="274">
        <v>11140</v>
      </c>
      <c r="B171" s="275" t="s">
        <v>118</v>
      </c>
      <c r="C171" s="275" t="s">
        <v>192</v>
      </c>
      <c r="D171" s="275" t="s">
        <v>193</v>
      </c>
      <c r="E171" s="276">
        <v>2.8</v>
      </c>
      <c r="F171" s="276" t="s">
        <v>119</v>
      </c>
      <c r="G171" s="276">
        <v>0</v>
      </c>
      <c r="H171" s="276">
        <v>1</v>
      </c>
      <c r="I171" s="276">
        <v>2</v>
      </c>
      <c r="J171" s="276">
        <v>0</v>
      </c>
      <c r="K171" s="276">
        <v>3</v>
      </c>
      <c r="L171" s="276">
        <v>2</v>
      </c>
      <c r="M171" s="277">
        <v>5.6</v>
      </c>
    </row>
    <row r="172" spans="1:13" ht="14.25">
      <c r="A172" s="278">
        <v>11140</v>
      </c>
      <c r="B172" s="279" t="s">
        <v>118</v>
      </c>
      <c r="C172" s="279" t="s">
        <v>192</v>
      </c>
      <c r="D172" s="279" t="s">
        <v>193</v>
      </c>
      <c r="E172" s="280">
        <v>2.8</v>
      </c>
      <c r="F172" s="280" t="s">
        <v>122</v>
      </c>
      <c r="G172" s="280">
        <v>0</v>
      </c>
      <c r="H172" s="280">
        <v>5</v>
      </c>
      <c r="I172" s="280">
        <v>7</v>
      </c>
      <c r="J172" s="280">
        <v>0</v>
      </c>
      <c r="K172" s="280">
        <v>12</v>
      </c>
      <c r="L172" s="280">
        <v>7</v>
      </c>
      <c r="M172" s="281">
        <v>19.6</v>
      </c>
    </row>
    <row r="173" spans="1:13" ht="9.75">
      <c r="A173" s="282">
        <v>11140</v>
      </c>
      <c r="B173" s="283" t="s">
        <v>163</v>
      </c>
      <c r="C173" s="283"/>
      <c r="D173" s="283"/>
      <c r="E173" s="283"/>
      <c r="F173" s="284" t="s">
        <v>132</v>
      </c>
      <c r="G173" s="284">
        <v>0</v>
      </c>
      <c r="H173" s="284">
        <v>0</v>
      </c>
      <c r="I173" s="284">
        <v>0</v>
      </c>
      <c r="J173" s="284">
        <v>0</v>
      </c>
      <c r="K173" s="284">
        <v>0</v>
      </c>
      <c r="L173" s="545"/>
      <c r="M173" s="546"/>
    </row>
    <row r="174" spans="1:13" ht="9.75">
      <c r="A174" s="282">
        <v>11140</v>
      </c>
      <c r="B174" s="283" t="s">
        <v>163</v>
      </c>
      <c r="C174" s="283"/>
      <c r="D174" s="283"/>
      <c r="E174" s="283"/>
      <c r="F174" s="284" t="s">
        <v>109</v>
      </c>
      <c r="G174" s="284">
        <v>0</v>
      </c>
      <c r="H174" s="284">
        <v>0</v>
      </c>
      <c r="I174" s="284">
        <v>0</v>
      </c>
      <c r="J174" s="284">
        <v>0</v>
      </c>
      <c r="K174" s="284">
        <v>0</v>
      </c>
      <c r="L174" s="545"/>
      <c r="M174" s="546"/>
    </row>
    <row r="175" spans="1:13" ht="9.75">
      <c r="A175" s="282">
        <v>11140</v>
      </c>
      <c r="B175" s="283" t="s">
        <v>163</v>
      </c>
      <c r="C175" s="283"/>
      <c r="D175" s="283"/>
      <c r="E175" s="283"/>
      <c r="F175" s="284" t="s">
        <v>110</v>
      </c>
      <c r="G175" s="284">
        <v>196</v>
      </c>
      <c r="H175" s="284">
        <v>6</v>
      </c>
      <c r="I175" s="284">
        <v>103</v>
      </c>
      <c r="J175" s="284">
        <v>1</v>
      </c>
      <c r="K175" s="284">
        <v>306</v>
      </c>
      <c r="L175" s="545"/>
      <c r="M175" s="546"/>
    </row>
    <row r="176" spans="1:13" ht="9.75">
      <c r="A176" s="282">
        <v>11140</v>
      </c>
      <c r="B176" s="283" t="s">
        <v>163</v>
      </c>
      <c r="C176" s="283"/>
      <c r="D176" s="283"/>
      <c r="E176" s="283"/>
      <c r="F176" s="284" t="s">
        <v>113</v>
      </c>
      <c r="G176" s="284">
        <v>0</v>
      </c>
      <c r="H176" s="284">
        <v>68</v>
      </c>
      <c r="I176" s="284">
        <v>1084</v>
      </c>
      <c r="J176" s="284">
        <v>15</v>
      </c>
      <c r="K176" s="284">
        <v>1167</v>
      </c>
      <c r="L176" s="545"/>
      <c r="M176" s="546"/>
    </row>
    <row r="177" spans="1:13" ht="9.75">
      <c r="A177" s="282">
        <v>11140</v>
      </c>
      <c r="B177" s="283" t="s">
        <v>163</v>
      </c>
      <c r="C177" s="283"/>
      <c r="D177" s="283"/>
      <c r="E177" s="283"/>
      <c r="F177" s="284" t="s">
        <v>116</v>
      </c>
      <c r="G177" s="284">
        <v>0</v>
      </c>
      <c r="H177" s="284">
        <v>0</v>
      </c>
      <c r="I177" s="284">
        <v>0</v>
      </c>
      <c r="J177" s="284">
        <v>0</v>
      </c>
      <c r="K177" s="284">
        <v>0</v>
      </c>
      <c r="L177" s="545"/>
      <c r="M177" s="546"/>
    </row>
    <row r="178" spans="1:13" ht="9.75">
      <c r="A178" s="282">
        <v>11140</v>
      </c>
      <c r="B178" s="283" t="s">
        <v>163</v>
      </c>
      <c r="C178" s="283"/>
      <c r="D178" s="283"/>
      <c r="E178" s="283"/>
      <c r="F178" s="284" t="s">
        <v>114</v>
      </c>
      <c r="G178" s="284">
        <v>0</v>
      </c>
      <c r="H178" s="284">
        <v>0</v>
      </c>
      <c r="I178" s="284">
        <v>0</v>
      </c>
      <c r="J178" s="284">
        <v>0</v>
      </c>
      <c r="K178" s="284">
        <v>0</v>
      </c>
      <c r="L178" s="545"/>
      <c r="M178" s="546"/>
    </row>
    <row r="179" spans="1:13" ht="9.75">
      <c r="A179" s="282">
        <v>11140</v>
      </c>
      <c r="B179" s="283" t="s">
        <v>163</v>
      </c>
      <c r="C179" s="283"/>
      <c r="D179" s="283"/>
      <c r="E179" s="283"/>
      <c r="F179" s="284" t="s">
        <v>119</v>
      </c>
      <c r="G179" s="284">
        <v>0</v>
      </c>
      <c r="H179" s="284">
        <v>2</v>
      </c>
      <c r="I179" s="284">
        <v>38</v>
      </c>
      <c r="J179" s="284">
        <v>0</v>
      </c>
      <c r="K179" s="284">
        <v>40</v>
      </c>
      <c r="L179" s="545"/>
      <c r="M179" s="546"/>
    </row>
    <row r="180" spans="1:13" ht="9.75">
      <c r="A180" s="282">
        <v>11140</v>
      </c>
      <c r="B180" s="283" t="s">
        <v>163</v>
      </c>
      <c r="C180" s="283"/>
      <c r="D180" s="283"/>
      <c r="E180" s="283"/>
      <c r="F180" s="284" t="s">
        <v>122</v>
      </c>
      <c r="G180" s="284">
        <v>0</v>
      </c>
      <c r="H180" s="284">
        <v>45</v>
      </c>
      <c r="I180" s="284">
        <v>103</v>
      </c>
      <c r="J180" s="284">
        <v>0</v>
      </c>
      <c r="K180" s="284">
        <v>148</v>
      </c>
      <c r="L180" s="545"/>
      <c r="M180" s="546"/>
    </row>
    <row r="181" spans="1:13" ht="14.25">
      <c r="A181" s="274">
        <v>11150</v>
      </c>
      <c r="B181" s="275" t="s">
        <v>123</v>
      </c>
      <c r="C181" s="275" t="s">
        <v>130</v>
      </c>
      <c r="D181" s="275" t="s">
        <v>131</v>
      </c>
      <c r="E181" s="276">
        <v>2.25</v>
      </c>
      <c r="F181" s="276" t="s">
        <v>132</v>
      </c>
      <c r="G181" s="276">
        <v>22</v>
      </c>
      <c r="H181" s="276">
        <v>0</v>
      </c>
      <c r="I181" s="276">
        <v>9</v>
      </c>
      <c r="J181" s="276">
        <v>0</v>
      </c>
      <c r="K181" s="276">
        <v>31</v>
      </c>
      <c r="L181" s="276">
        <v>31</v>
      </c>
      <c r="M181" s="277">
        <v>69.75</v>
      </c>
    </row>
    <row r="182" spans="1:13" ht="14.25">
      <c r="A182" s="278">
        <v>11150</v>
      </c>
      <c r="B182" s="279" t="s">
        <v>123</v>
      </c>
      <c r="C182" s="279" t="s">
        <v>130</v>
      </c>
      <c r="D182" s="279" t="s">
        <v>131</v>
      </c>
      <c r="E182" s="280">
        <v>2.25</v>
      </c>
      <c r="F182" s="280" t="s">
        <v>109</v>
      </c>
      <c r="G182" s="280">
        <v>0</v>
      </c>
      <c r="H182" s="280">
        <v>2</v>
      </c>
      <c r="I182" s="280">
        <v>37</v>
      </c>
      <c r="J182" s="280">
        <v>1</v>
      </c>
      <c r="K182" s="280">
        <v>40</v>
      </c>
      <c r="L182" s="280">
        <v>37.5</v>
      </c>
      <c r="M182" s="281">
        <v>84.38</v>
      </c>
    </row>
    <row r="183" spans="1:13" ht="14.25">
      <c r="A183" s="274">
        <v>11150</v>
      </c>
      <c r="B183" s="275" t="s">
        <v>123</v>
      </c>
      <c r="C183" s="275" t="s">
        <v>9</v>
      </c>
      <c r="D183" s="275" t="s">
        <v>10</v>
      </c>
      <c r="E183" s="276">
        <v>2.8</v>
      </c>
      <c r="F183" s="276" t="s">
        <v>110</v>
      </c>
      <c r="G183" s="276">
        <v>134</v>
      </c>
      <c r="H183" s="276">
        <v>0</v>
      </c>
      <c r="I183" s="276">
        <v>51</v>
      </c>
      <c r="J183" s="276">
        <v>0</v>
      </c>
      <c r="K183" s="276">
        <v>185</v>
      </c>
      <c r="L183" s="276">
        <v>185</v>
      </c>
      <c r="M183" s="277">
        <v>518</v>
      </c>
    </row>
    <row r="184" spans="1:13" ht="14.25">
      <c r="A184" s="278">
        <v>11150</v>
      </c>
      <c r="B184" s="279" t="s">
        <v>123</v>
      </c>
      <c r="C184" s="279" t="s">
        <v>9</v>
      </c>
      <c r="D184" s="279" t="s">
        <v>10</v>
      </c>
      <c r="E184" s="280">
        <v>2.8</v>
      </c>
      <c r="F184" s="280" t="s">
        <v>113</v>
      </c>
      <c r="G184" s="280">
        <v>0</v>
      </c>
      <c r="H184" s="280">
        <v>29</v>
      </c>
      <c r="I184" s="280">
        <v>697</v>
      </c>
      <c r="J184" s="280">
        <v>3</v>
      </c>
      <c r="K184" s="280">
        <v>729</v>
      </c>
      <c r="L184" s="280">
        <v>698.5</v>
      </c>
      <c r="M184" s="281">
        <v>1955.8</v>
      </c>
    </row>
    <row r="185" spans="1:13" ht="14.25">
      <c r="A185" s="274">
        <v>11150</v>
      </c>
      <c r="B185" s="275" t="s">
        <v>123</v>
      </c>
      <c r="C185" s="275" t="s">
        <v>11</v>
      </c>
      <c r="D185" s="275" t="s">
        <v>12</v>
      </c>
      <c r="E185" s="276">
        <v>3.5</v>
      </c>
      <c r="F185" s="276" t="s">
        <v>110</v>
      </c>
      <c r="G185" s="276">
        <v>29</v>
      </c>
      <c r="H185" s="276">
        <v>1</v>
      </c>
      <c r="I185" s="276">
        <v>8</v>
      </c>
      <c r="J185" s="276">
        <v>0</v>
      </c>
      <c r="K185" s="276">
        <v>38</v>
      </c>
      <c r="L185" s="276">
        <v>37</v>
      </c>
      <c r="M185" s="277">
        <v>129.5</v>
      </c>
    </row>
    <row r="186" spans="1:13" ht="14.25">
      <c r="A186" s="278">
        <v>11150</v>
      </c>
      <c r="B186" s="279" t="s">
        <v>123</v>
      </c>
      <c r="C186" s="279" t="s">
        <v>11</v>
      </c>
      <c r="D186" s="279" t="s">
        <v>12</v>
      </c>
      <c r="E186" s="280">
        <v>3.5</v>
      </c>
      <c r="F186" s="280" t="s">
        <v>113</v>
      </c>
      <c r="G186" s="280">
        <v>0</v>
      </c>
      <c r="H186" s="280">
        <v>8</v>
      </c>
      <c r="I186" s="280">
        <v>122</v>
      </c>
      <c r="J186" s="280">
        <v>3</v>
      </c>
      <c r="K186" s="280">
        <v>133</v>
      </c>
      <c r="L186" s="280">
        <v>123.5</v>
      </c>
      <c r="M186" s="281">
        <v>432.25</v>
      </c>
    </row>
    <row r="187" spans="1:13" ht="14.25">
      <c r="A187" s="274">
        <v>11150</v>
      </c>
      <c r="B187" s="275" t="s">
        <v>123</v>
      </c>
      <c r="C187" s="275" t="s">
        <v>120</v>
      </c>
      <c r="D187" s="275" t="s">
        <v>121</v>
      </c>
      <c r="E187" s="276">
        <v>2.8</v>
      </c>
      <c r="F187" s="276" t="s">
        <v>119</v>
      </c>
      <c r="G187" s="276">
        <v>0</v>
      </c>
      <c r="H187" s="276">
        <v>0</v>
      </c>
      <c r="I187" s="276">
        <v>1</v>
      </c>
      <c r="J187" s="276">
        <v>0</v>
      </c>
      <c r="K187" s="276">
        <v>1</v>
      </c>
      <c r="L187" s="276">
        <v>1</v>
      </c>
      <c r="M187" s="277">
        <v>2.8</v>
      </c>
    </row>
    <row r="188" spans="1:13" ht="14.25">
      <c r="A188" s="278">
        <v>11150</v>
      </c>
      <c r="B188" s="279" t="s">
        <v>123</v>
      </c>
      <c r="C188" s="279" t="s">
        <v>120</v>
      </c>
      <c r="D188" s="279" t="s">
        <v>121</v>
      </c>
      <c r="E188" s="280">
        <v>2.8</v>
      </c>
      <c r="F188" s="280" t="s">
        <v>122</v>
      </c>
      <c r="G188" s="280">
        <v>0</v>
      </c>
      <c r="H188" s="280">
        <v>1</v>
      </c>
      <c r="I188" s="280">
        <v>5</v>
      </c>
      <c r="J188" s="280">
        <v>0</v>
      </c>
      <c r="K188" s="280">
        <v>6</v>
      </c>
      <c r="L188" s="280">
        <v>5</v>
      </c>
      <c r="M188" s="281">
        <v>14</v>
      </c>
    </row>
    <row r="189" spans="1:13" ht="14.25">
      <c r="A189" s="274">
        <v>11150</v>
      </c>
      <c r="B189" s="275" t="s">
        <v>123</v>
      </c>
      <c r="C189" s="275" t="s">
        <v>153</v>
      </c>
      <c r="D189" s="275" t="s">
        <v>154</v>
      </c>
      <c r="E189" s="276">
        <v>2.8</v>
      </c>
      <c r="F189" s="276" t="s">
        <v>122</v>
      </c>
      <c r="G189" s="276">
        <v>0</v>
      </c>
      <c r="H189" s="276">
        <v>2</v>
      </c>
      <c r="I189" s="276">
        <v>6</v>
      </c>
      <c r="J189" s="276">
        <v>0</v>
      </c>
      <c r="K189" s="276">
        <v>8</v>
      </c>
      <c r="L189" s="276">
        <v>6</v>
      </c>
      <c r="M189" s="277">
        <v>16.8</v>
      </c>
    </row>
    <row r="190" spans="1:13" ht="14.25">
      <c r="A190" s="278">
        <v>11150</v>
      </c>
      <c r="B190" s="279" t="s">
        <v>123</v>
      </c>
      <c r="C190" s="279" t="s">
        <v>25</v>
      </c>
      <c r="D190" s="279" t="s">
        <v>26</v>
      </c>
      <c r="E190" s="280">
        <v>2.8</v>
      </c>
      <c r="F190" s="280" t="s">
        <v>119</v>
      </c>
      <c r="G190" s="280">
        <v>0</v>
      </c>
      <c r="H190" s="280">
        <v>0</v>
      </c>
      <c r="I190" s="280">
        <v>1</v>
      </c>
      <c r="J190" s="280">
        <v>0</v>
      </c>
      <c r="K190" s="280">
        <v>1</v>
      </c>
      <c r="L190" s="280">
        <v>1</v>
      </c>
      <c r="M190" s="281">
        <v>2.8</v>
      </c>
    </row>
    <row r="191" spans="1:13" ht="14.25">
      <c r="A191" s="274">
        <v>11150</v>
      </c>
      <c r="B191" s="275" t="s">
        <v>123</v>
      </c>
      <c r="C191" s="275" t="s">
        <v>25</v>
      </c>
      <c r="D191" s="275" t="s">
        <v>26</v>
      </c>
      <c r="E191" s="276">
        <v>2.8</v>
      </c>
      <c r="F191" s="276" t="s">
        <v>122</v>
      </c>
      <c r="G191" s="276">
        <v>0</v>
      </c>
      <c r="H191" s="276">
        <v>2</v>
      </c>
      <c r="I191" s="276">
        <v>3</v>
      </c>
      <c r="J191" s="276">
        <v>0</v>
      </c>
      <c r="K191" s="276">
        <v>5</v>
      </c>
      <c r="L191" s="276">
        <v>3</v>
      </c>
      <c r="M191" s="277">
        <v>8.4</v>
      </c>
    </row>
    <row r="192" spans="1:13" ht="14.25">
      <c r="A192" s="278">
        <v>11150</v>
      </c>
      <c r="B192" s="279" t="s">
        <v>123</v>
      </c>
      <c r="C192" s="279" t="s">
        <v>170</v>
      </c>
      <c r="D192" s="279" t="s">
        <v>171</v>
      </c>
      <c r="E192" s="280">
        <v>2.8</v>
      </c>
      <c r="F192" s="280" t="s">
        <v>122</v>
      </c>
      <c r="G192" s="280">
        <v>0</v>
      </c>
      <c r="H192" s="280">
        <v>0</v>
      </c>
      <c r="I192" s="280">
        <v>1</v>
      </c>
      <c r="J192" s="280">
        <v>0</v>
      </c>
      <c r="K192" s="280">
        <v>1</v>
      </c>
      <c r="L192" s="280">
        <v>1</v>
      </c>
      <c r="M192" s="281">
        <v>2.8</v>
      </c>
    </row>
    <row r="193" spans="1:13" ht="14.25">
      <c r="A193" s="274">
        <v>11150</v>
      </c>
      <c r="B193" s="275" t="s">
        <v>123</v>
      </c>
      <c r="C193" s="275" t="s">
        <v>172</v>
      </c>
      <c r="D193" s="275" t="s">
        <v>173</v>
      </c>
      <c r="E193" s="276">
        <v>2.8</v>
      </c>
      <c r="F193" s="276" t="s">
        <v>119</v>
      </c>
      <c r="G193" s="276">
        <v>0</v>
      </c>
      <c r="H193" s="276">
        <v>0</v>
      </c>
      <c r="I193" s="276">
        <v>2</v>
      </c>
      <c r="J193" s="276">
        <v>0</v>
      </c>
      <c r="K193" s="276">
        <v>2</v>
      </c>
      <c r="L193" s="276">
        <v>2</v>
      </c>
      <c r="M193" s="277">
        <v>5.6</v>
      </c>
    </row>
    <row r="194" spans="1:13" ht="14.25">
      <c r="A194" s="278">
        <v>11150</v>
      </c>
      <c r="B194" s="279" t="s">
        <v>123</v>
      </c>
      <c r="C194" s="279" t="s">
        <v>172</v>
      </c>
      <c r="D194" s="279" t="s">
        <v>173</v>
      </c>
      <c r="E194" s="280">
        <v>2.8</v>
      </c>
      <c r="F194" s="280" t="s">
        <v>122</v>
      </c>
      <c r="G194" s="280">
        <v>0</v>
      </c>
      <c r="H194" s="280">
        <v>1</v>
      </c>
      <c r="I194" s="280">
        <v>6</v>
      </c>
      <c r="J194" s="280">
        <v>0</v>
      </c>
      <c r="K194" s="280">
        <v>7</v>
      </c>
      <c r="L194" s="280">
        <v>6</v>
      </c>
      <c r="M194" s="281">
        <v>16.8</v>
      </c>
    </row>
    <row r="195" spans="1:13" ht="14.25">
      <c r="A195" s="274">
        <v>11150</v>
      </c>
      <c r="B195" s="275" t="s">
        <v>123</v>
      </c>
      <c r="C195" s="275" t="s">
        <v>27</v>
      </c>
      <c r="D195" s="275" t="s">
        <v>28</v>
      </c>
      <c r="E195" s="276">
        <v>2.8</v>
      </c>
      <c r="F195" s="276" t="s">
        <v>119</v>
      </c>
      <c r="G195" s="276">
        <v>0</v>
      </c>
      <c r="H195" s="276">
        <v>1</v>
      </c>
      <c r="I195" s="276">
        <v>5</v>
      </c>
      <c r="J195" s="276">
        <v>0</v>
      </c>
      <c r="K195" s="276">
        <v>6</v>
      </c>
      <c r="L195" s="276">
        <v>5</v>
      </c>
      <c r="M195" s="277">
        <v>14</v>
      </c>
    </row>
    <row r="196" spans="1:13" ht="14.25">
      <c r="A196" s="278">
        <v>11150</v>
      </c>
      <c r="B196" s="279" t="s">
        <v>123</v>
      </c>
      <c r="C196" s="279" t="s">
        <v>27</v>
      </c>
      <c r="D196" s="279" t="s">
        <v>28</v>
      </c>
      <c r="E196" s="280">
        <v>2.8</v>
      </c>
      <c r="F196" s="280" t="s">
        <v>122</v>
      </c>
      <c r="G196" s="280">
        <v>0</v>
      </c>
      <c r="H196" s="280">
        <v>12</v>
      </c>
      <c r="I196" s="280">
        <v>12</v>
      </c>
      <c r="J196" s="280">
        <v>0</v>
      </c>
      <c r="K196" s="280">
        <v>24</v>
      </c>
      <c r="L196" s="280">
        <v>12</v>
      </c>
      <c r="M196" s="281">
        <v>33.6</v>
      </c>
    </row>
    <row r="197" spans="1:13" ht="14.25">
      <c r="A197" s="274">
        <v>11150</v>
      </c>
      <c r="B197" s="275" t="s">
        <v>123</v>
      </c>
      <c r="C197" s="275" t="s">
        <v>194</v>
      </c>
      <c r="D197" s="275" t="s">
        <v>195</v>
      </c>
      <c r="E197" s="276">
        <v>2.8</v>
      </c>
      <c r="F197" s="276" t="s">
        <v>122</v>
      </c>
      <c r="G197" s="276">
        <v>0</v>
      </c>
      <c r="H197" s="276">
        <v>1</v>
      </c>
      <c r="I197" s="276">
        <v>1</v>
      </c>
      <c r="J197" s="276">
        <v>0</v>
      </c>
      <c r="K197" s="276">
        <v>2</v>
      </c>
      <c r="L197" s="276">
        <v>1</v>
      </c>
      <c r="M197" s="277">
        <v>2.8</v>
      </c>
    </row>
    <row r="198" spans="1:13" ht="14.25">
      <c r="A198" s="278">
        <v>11150</v>
      </c>
      <c r="B198" s="279" t="s">
        <v>123</v>
      </c>
      <c r="C198" s="279" t="s">
        <v>176</v>
      </c>
      <c r="D198" s="279" t="s">
        <v>177</v>
      </c>
      <c r="E198" s="280">
        <v>2.8</v>
      </c>
      <c r="F198" s="280" t="s">
        <v>119</v>
      </c>
      <c r="G198" s="280">
        <v>0</v>
      </c>
      <c r="H198" s="280">
        <v>0</v>
      </c>
      <c r="I198" s="280">
        <v>2</v>
      </c>
      <c r="J198" s="280">
        <v>0</v>
      </c>
      <c r="K198" s="280">
        <v>2</v>
      </c>
      <c r="L198" s="280">
        <v>2</v>
      </c>
      <c r="M198" s="281">
        <v>5.6</v>
      </c>
    </row>
    <row r="199" spans="1:13" ht="14.25">
      <c r="A199" s="274">
        <v>11150</v>
      </c>
      <c r="B199" s="275" t="s">
        <v>123</v>
      </c>
      <c r="C199" s="275" t="s">
        <v>176</v>
      </c>
      <c r="D199" s="275" t="s">
        <v>177</v>
      </c>
      <c r="E199" s="276">
        <v>2.8</v>
      </c>
      <c r="F199" s="276" t="s">
        <v>122</v>
      </c>
      <c r="G199" s="276">
        <v>0</v>
      </c>
      <c r="H199" s="276">
        <v>1</v>
      </c>
      <c r="I199" s="276">
        <v>3</v>
      </c>
      <c r="J199" s="276">
        <v>0</v>
      </c>
      <c r="K199" s="276">
        <v>4</v>
      </c>
      <c r="L199" s="276">
        <v>3</v>
      </c>
      <c r="M199" s="277">
        <v>8.4</v>
      </c>
    </row>
    <row r="200" spans="1:13" ht="14.25">
      <c r="A200" s="278">
        <v>11150</v>
      </c>
      <c r="B200" s="279" t="s">
        <v>123</v>
      </c>
      <c r="C200" s="279" t="s">
        <v>196</v>
      </c>
      <c r="D200" s="279" t="s">
        <v>197</v>
      </c>
      <c r="E200" s="280">
        <v>2.8</v>
      </c>
      <c r="F200" s="280" t="s">
        <v>119</v>
      </c>
      <c r="G200" s="280">
        <v>0</v>
      </c>
      <c r="H200" s="280">
        <v>0</v>
      </c>
      <c r="I200" s="280">
        <v>1</v>
      </c>
      <c r="J200" s="280">
        <v>0</v>
      </c>
      <c r="K200" s="280">
        <v>1</v>
      </c>
      <c r="L200" s="280">
        <v>1</v>
      </c>
      <c r="M200" s="281">
        <v>2.8</v>
      </c>
    </row>
    <row r="201" spans="1:13" ht="14.25">
      <c r="A201" s="274">
        <v>11150</v>
      </c>
      <c r="B201" s="275" t="s">
        <v>123</v>
      </c>
      <c r="C201" s="275" t="s">
        <v>196</v>
      </c>
      <c r="D201" s="275" t="s">
        <v>197</v>
      </c>
      <c r="E201" s="276">
        <v>2.8</v>
      </c>
      <c r="F201" s="276" t="s">
        <v>122</v>
      </c>
      <c r="G201" s="276">
        <v>0</v>
      </c>
      <c r="H201" s="276">
        <v>1</v>
      </c>
      <c r="I201" s="276">
        <v>2</v>
      </c>
      <c r="J201" s="276">
        <v>0</v>
      </c>
      <c r="K201" s="276">
        <v>3</v>
      </c>
      <c r="L201" s="276">
        <v>2</v>
      </c>
      <c r="M201" s="277">
        <v>5.6</v>
      </c>
    </row>
    <row r="202" spans="1:13" ht="14.25">
      <c r="A202" s="278">
        <v>11150</v>
      </c>
      <c r="B202" s="279" t="s">
        <v>123</v>
      </c>
      <c r="C202" s="279" t="s">
        <v>198</v>
      </c>
      <c r="D202" s="279" t="s">
        <v>199</v>
      </c>
      <c r="E202" s="280">
        <v>2.8</v>
      </c>
      <c r="F202" s="280" t="s">
        <v>119</v>
      </c>
      <c r="G202" s="280">
        <v>0</v>
      </c>
      <c r="H202" s="280">
        <v>0</v>
      </c>
      <c r="I202" s="280">
        <v>3</v>
      </c>
      <c r="J202" s="280">
        <v>0</v>
      </c>
      <c r="K202" s="280">
        <v>3</v>
      </c>
      <c r="L202" s="280">
        <v>3</v>
      </c>
      <c r="M202" s="281">
        <v>8.4</v>
      </c>
    </row>
    <row r="203" spans="1:13" ht="14.25">
      <c r="A203" s="274">
        <v>11150</v>
      </c>
      <c r="B203" s="275" t="s">
        <v>123</v>
      </c>
      <c r="C203" s="275" t="s">
        <v>198</v>
      </c>
      <c r="D203" s="275" t="s">
        <v>199</v>
      </c>
      <c r="E203" s="276">
        <v>2.8</v>
      </c>
      <c r="F203" s="276" t="s">
        <v>122</v>
      </c>
      <c r="G203" s="276">
        <v>0</v>
      </c>
      <c r="H203" s="276">
        <v>1</v>
      </c>
      <c r="I203" s="276">
        <v>4</v>
      </c>
      <c r="J203" s="276">
        <v>0</v>
      </c>
      <c r="K203" s="276">
        <v>5</v>
      </c>
      <c r="L203" s="276">
        <v>4</v>
      </c>
      <c r="M203" s="277">
        <v>11.2</v>
      </c>
    </row>
    <row r="204" spans="1:13" ht="14.25">
      <c r="A204" s="278">
        <v>11150</v>
      </c>
      <c r="B204" s="279" t="s">
        <v>123</v>
      </c>
      <c r="C204" s="279" t="s">
        <v>200</v>
      </c>
      <c r="D204" s="279" t="s">
        <v>201</v>
      </c>
      <c r="E204" s="280">
        <v>2.8</v>
      </c>
      <c r="F204" s="280" t="s">
        <v>119</v>
      </c>
      <c r="G204" s="280">
        <v>0</v>
      </c>
      <c r="H204" s="280">
        <v>1</v>
      </c>
      <c r="I204" s="280">
        <v>1</v>
      </c>
      <c r="J204" s="280">
        <v>0</v>
      </c>
      <c r="K204" s="280">
        <v>2</v>
      </c>
      <c r="L204" s="280">
        <v>1</v>
      </c>
      <c r="M204" s="281">
        <v>2.8</v>
      </c>
    </row>
    <row r="205" spans="1:13" ht="14.25">
      <c r="A205" s="274">
        <v>11150</v>
      </c>
      <c r="B205" s="275" t="s">
        <v>123</v>
      </c>
      <c r="C205" s="275" t="s">
        <v>200</v>
      </c>
      <c r="D205" s="275" t="s">
        <v>201</v>
      </c>
      <c r="E205" s="276">
        <v>2.8</v>
      </c>
      <c r="F205" s="276" t="s">
        <v>122</v>
      </c>
      <c r="G205" s="276">
        <v>0</v>
      </c>
      <c r="H205" s="276">
        <v>1</v>
      </c>
      <c r="I205" s="276">
        <v>3</v>
      </c>
      <c r="J205" s="276">
        <v>0</v>
      </c>
      <c r="K205" s="276">
        <v>4</v>
      </c>
      <c r="L205" s="276">
        <v>3</v>
      </c>
      <c r="M205" s="277">
        <v>8.4</v>
      </c>
    </row>
    <row r="206" spans="1:13" ht="14.25">
      <c r="A206" s="278">
        <v>11150</v>
      </c>
      <c r="B206" s="279" t="s">
        <v>123</v>
      </c>
      <c r="C206" s="279" t="s">
        <v>202</v>
      </c>
      <c r="D206" s="279" t="s">
        <v>203</v>
      </c>
      <c r="E206" s="280">
        <v>2.8</v>
      </c>
      <c r="F206" s="280" t="s">
        <v>119</v>
      </c>
      <c r="G206" s="280">
        <v>0</v>
      </c>
      <c r="H206" s="280">
        <v>0</v>
      </c>
      <c r="I206" s="280">
        <v>3</v>
      </c>
      <c r="J206" s="280">
        <v>0</v>
      </c>
      <c r="K206" s="280">
        <v>3</v>
      </c>
      <c r="L206" s="280">
        <v>3</v>
      </c>
      <c r="M206" s="281">
        <v>8.4</v>
      </c>
    </row>
    <row r="207" spans="1:13" ht="14.25">
      <c r="A207" s="274">
        <v>11150</v>
      </c>
      <c r="B207" s="275" t="s">
        <v>123</v>
      </c>
      <c r="C207" s="275" t="s">
        <v>202</v>
      </c>
      <c r="D207" s="275" t="s">
        <v>203</v>
      </c>
      <c r="E207" s="276">
        <v>2.8</v>
      </c>
      <c r="F207" s="276" t="s">
        <v>122</v>
      </c>
      <c r="G207" s="276">
        <v>0</v>
      </c>
      <c r="H207" s="276">
        <v>1</v>
      </c>
      <c r="I207" s="276">
        <v>7</v>
      </c>
      <c r="J207" s="276">
        <v>0</v>
      </c>
      <c r="K207" s="276">
        <v>8</v>
      </c>
      <c r="L207" s="276">
        <v>7</v>
      </c>
      <c r="M207" s="277">
        <v>19.6</v>
      </c>
    </row>
    <row r="208" spans="1:13" ht="14.25">
      <c r="A208" s="278">
        <v>11150</v>
      </c>
      <c r="B208" s="279" t="s">
        <v>123</v>
      </c>
      <c r="C208" s="279" t="s">
        <v>178</v>
      </c>
      <c r="D208" s="279" t="s">
        <v>179</v>
      </c>
      <c r="E208" s="280">
        <v>2.8</v>
      </c>
      <c r="F208" s="280" t="s">
        <v>119</v>
      </c>
      <c r="G208" s="280">
        <v>0</v>
      </c>
      <c r="H208" s="280">
        <v>0</v>
      </c>
      <c r="I208" s="280">
        <v>1</v>
      </c>
      <c r="J208" s="280">
        <v>0</v>
      </c>
      <c r="K208" s="280">
        <v>1</v>
      </c>
      <c r="L208" s="280">
        <v>1</v>
      </c>
      <c r="M208" s="281">
        <v>2.8</v>
      </c>
    </row>
    <row r="209" spans="1:13" ht="14.25">
      <c r="A209" s="274">
        <v>11150</v>
      </c>
      <c r="B209" s="275" t="s">
        <v>123</v>
      </c>
      <c r="C209" s="275" t="s">
        <v>178</v>
      </c>
      <c r="D209" s="275" t="s">
        <v>179</v>
      </c>
      <c r="E209" s="276">
        <v>2.8</v>
      </c>
      <c r="F209" s="276" t="s">
        <v>122</v>
      </c>
      <c r="G209" s="276">
        <v>0</v>
      </c>
      <c r="H209" s="276">
        <v>3</v>
      </c>
      <c r="I209" s="276">
        <v>2</v>
      </c>
      <c r="J209" s="276">
        <v>0</v>
      </c>
      <c r="K209" s="276">
        <v>5</v>
      </c>
      <c r="L209" s="276">
        <v>2</v>
      </c>
      <c r="M209" s="277">
        <v>5.6</v>
      </c>
    </row>
    <row r="210" spans="1:13" ht="14.25">
      <c r="A210" s="278">
        <v>11150</v>
      </c>
      <c r="B210" s="279" t="s">
        <v>123</v>
      </c>
      <c r="C210" s="279" t="s">
        <v>204</v>
      </c>
      <c r="D210" s="279" t="s">
        <v>205</v>
      </c>
      <c r="E210" s="280">
        <v>2.8</v>
      </c>
      <c r="F210" s="280" t="s">
        <v>119</v>
      </c>
      <c r="G210" s="280">
        <v>0</v>
      </c>
      <c r="H210" s="280">
        <v>0</v>
      </c>
      <c r="I210" s="280">
        <v>2</v>
      </c>
      <c r="J210" s="280">
        <v>0</v>
      </c>
      <c r="K210" s="280">
        <v>2</v>
      </c>
      <c r="L210" s="280">
        <v>2</v>
      </c>
      <c r="M210" s="281">
        <v>5.6</v>
      </c>
    </row>
    <row r="211" spans="1:13" ht="14.25">
      <c r="A211" s="274">
        <v>11150</v>
      </c>
      <c r="B211" s="275" t="s">
        <v>123</v>
      </c>
      <c r="C211" s="275" t="s">
        <v>204</v>
      </c>
      <c r="D211" s="275" t="s">
        <v>205</v>
      </c>
      <c r="E211" s="276">
        <v>2.8</v>
      </c>
      <c r="F211" s="276" t="s">
        <v>122</v>
      </c>
      <c r="G211" s="276">
        <v>0</v>
      </c>
      <c r="H211" s="276">
        <v>0</v>
      </c>
      <c r="I211" s="276">
        <v>1</v>
      </c>
      <c r="J211" s="276">
        <v>0</v>
      </c>
      <c r="K211" s="276">
        <v>1</v>
      </c>
      <c r="L211" s="276">
        <v>1</v>
      </c>
      <c r="M211" s="277">
        <v>2.8</v>
      </c>
    </row>
    <row r="212" spans="1:13" ht="14.25">
      <c r="A212" s="278">
        <v>11150</v>
      </c>
      <c r="B212" s="279" t="s">
        <v>123</v>
      </c>
      <c r="C212" s="279" t="s">
        <v>29</v>
      </c>
      <c r="D212" s="279" t="s">
        <v>30</v>
      </c>
      <c r="E212" s="280">
        <v>2.8</v>
      </c>
      <c r="F212" s="280" t="s">
        <v>119</v>
      </c>
      <c r="G212" s="280">
        <v>0</v>
      </c>
      <c r="H212" s="280">
        <v>1</v>
      </c>
      <c r="I212" s="280">
        <v>8</v>
      </c>
      <c r="J212" s="280">
        <v>0</v>
      </c>
      <c r="K212" s="280">
        <v>9</v>
      </c>
      <c r="L212" s="280">
        <v>8</v>
      </c>
      <c r="M212" s="281">
        <v>22.4</v>
      </c>
    </row>
    <row r="213" spans="1:13" ht="14.25">
      <c r="A213" s="274">
        <v>11150</v>
      </c>
      <c r="B213" s="275" t="s">
        <v>123</v>
      </c>
      <c r="C213" s="275" t="s">
        <v>29</v>
      </c>
      <c r="D213" s="275" t="s">
        <v>30</v>
      </c>
      <c r="E213" s="276">
        <v>2.8</v>
      </c>
      <c r="F213" s="276" t="s">
        <v>122</v>
      </c>
      <c r="G213" s="276">
        <v>0</v>
      </c>
      <c r="H213" s="276">
        <v>27</v>
      </c>
      <c r="I213" s="276">
        <v>17</v>
      </c>
      <c r="J213" s="276">
        <v>0</v>
      </c>
      <c r="K213" s="276">
        <v>44</v>
      </c>
      <c r="L213" s="276">
        <v>17</v>
      </c>
      <c r="M213" s="277">
        <v>47.6</v>
      </c>
    </row>
    <row r="214" spans="1:13" ht="14.25">
      <c r="A214" s="278">
        <v>11150</v>
      </c>
      <c r="B214" s="279" t="s">
        <v>123</v>
      </c>
      <c r="C214" s="279" t="s">
        <v>206</v>
      </c>
      <c r="D214" s="279" t="s">
        <v>207</v>
      </c>
      <c r="E214" s="280">
        <v>2.8</v>
      </c>
      <c r="F214" s="280" t="s">
        <v>122</v>
      </c>
      <c r="G214" s="280">
        <v>0</v>
      </c>
      <c r="H214" s="280">
        <v>7</v>
      </c>
      <c r="I214" s="280">
        <v>4</v>
      </c>
      <c r="J214" s="280">
        <v>0</v>
      </c>
      <c r="K214" s="280">
        <v>11</v>
      </c>
      <c r="L214" s="280">
        <v>4</v>
      </c>
      <c r="M214" s="281">
        <v>11.2</v>
      </c>
    </row>
    <row r="215" spans="1:13" ht="14.25">
      <c r="A215" s="274">
        <v>11150</v>
      </c>
      <c r="B215" s="275" t="s">
        <v>123</v>
      </c>
      <c r="C215" s="275" t="s">
        <v>188</v>
      </c>
      <c r="D215" s="275" t="s">
        <v>189</v>
      </c>
      <c r="E215" s="276">
        <v>2.8</v>
      </c>
      <c r="F215" s="276" t="s">
        <v>119</v>
      </c>
      <c r="G215" s="276">
        <v>0</v>
      </c>
      <c r="H215" s="276">
        <v>0</v>
      </c>
      <c r="I215" s="276">
        <v>1</v>
      </c>
      <c r="J215" s="276">
        <v>0</v>
      </c>
      <c r="K215" s="276">
        <v>1</v>
      </c>
      <c r="L215" s="276">
        <v>1</v>
      </c>
      <c r="M215" s="277">
        <v>2.8</v>
      </c>
    </row>
    <row r="216" spans="1:13" ht="14.25">
      <c r="A216" s="278">
        <v>11150</v>
      </c>
      <c r="B216" s="279" t="s">
        <v>123</v>
      </c>
      <c r="C216" s="279" t="s">
        <v>188</v>
      </c>
      <c r="D216" s="279" t="s">
        <v>189</v>
      </c>
      <c r="E216" s="280">
        <v>2.8</v>
      </c>
      <c r="F216" s="280" t="s">
        <v>122</v>
      </c>
      <c r="G216" s="280">
        <v>0</v>
      </c>
      <c r="H216" s="280">
        <v>6</v>
      </c>
      <c r="I216" s="280">
        <v>4</v>
      </c>
      <c r="J216" s="280">
        <v>0</v>
      </c>
      <c r="K216" s="280">
        <v>10</v>
      </c>
      <c r="L216" s="280">
        <v>4</v>
      </c>
      <c r="M216" s="281">
        <v>11.2</v>
      </c>
    </row>
    <row r="217" spans="1:13" ht="14.25">
      <c r="A217" s="274">
        <v>11150</v>
      </c>
      <c r="B217" s="275" t="s">
        <v>123</v>
      </c>
      <c r="C217" s="275" t="s">
        <v>190</v>
      </c>
      <c r="D217" s="275" t="s">
        <v>191</v>
      </c>
      <c r="E217" s="276">
        <v>2.8</v>
      </c>
      <c r="F217" s="276" t="s">
        <v>122</v>
      </c>
      <c r="G217" s="276">
        <v>0</v>
      </c>
      <c r="H217" s="276">
        <v>3</v>
      </c>
      <c r="I217" s="276">
        <v>5</v>
      </c>
      <c r="J217" s="276">
        <v>0</v>
      </c>
      <c r="K217" s="276">
        <v>8</v>
      </c>
      <c r="L217" s="276">
        <v>5</v>
      </c>
      <c r="M217" s="277">
        <v>14</v>
      </c>
    </row>
    <row r="218" spans="1:13" ht="14.25">
      <c r="A218" s="278">
        <v>11150</v>
      </c>
      <c r="B218" s="279" t="s">
        <v>123</v>
      </c>
      <c r="C218" s="279" t="s">
        <v>208</v>
      </c>
      <c r="D218" s="279" t="s">
        <v>209</v>
      </c>
      <c r="E218" s="280">
        <v>2.8</v>
      </c>
      <c r="F218" s="280" t="s">
        <v>119</v>
      </c>
      <c r="G218" s="280">
        <v>0</v>
      </c>
      <c r="H218" s="280">
        <v>0</v>
      </c>
      <c r="I218" s="280">
        <v>1</v>
      </c>
      <c r="J218" s="280">
        <v>0</v>
      </c>
      <c r="K218" s="280">
        <v>1</v>
      </c>
      <c r="L218" s="280">
        <v>1</v>
      </c>
      <c r="M218" s="281">
        <v>2.8</v>
      </c>
    </row>
    <row r="219" spans="1:13" ht="14.25">
      <c r="A219" s="274">
        <v>11150</v>
      </c>
      <c r="B219" s="275" t="s">
        <v>123</v>
      </c>
      <c r="C219" s="275" t="s">
        <v>208</v>
      </c>
      <c r="D219" s="275" t="s">
        <v>209</v>
      </c>
      <c r="E219" s="276">
        <v>2.8</v>
      </c>
      <c r="F219" s="276" t="s">
        <v>122</v>
      </c>
      <c r="G219" s="276">
        <v>0</v>
      </c>
      <c r="H219" s="276">
        <v>7</v>
      </c>
      <c r="I219" s="276">
        <v>12</v>
      </c>
      <c r="J219" s="276">
        <v>0</v>
      </c>
      <c r="K219" s="276">
        <v>19</v>
      </c>
      <c r="L219" s="276">
        <v>12</v>
      </c>
      <c r="M219" s="277">
        <v>33.6</v>
      </c>
    </row>
    <row r="220" spans="1:13" ht="14.25">
      <c r="A220" s="278">
        <v>11150</v>
      </c>
      <c r="B220" s="279" t="s">
        <v>123</v>
      </c>
      <c r="C220" s="279" t="s">
        <v>210</v>
      </c>
      <c r="D220" s="279" t="s">
        <v>211</v>
      </c>
      <c r="E220" s="280">
        <v>2.8</v>
      </c>
      <c r="F220" s="280" t="s">
        <v>119</v>
      </c>
      <c r="G220" s="280">
        <v>0</v>
      </c>
      <c r="H220" s="280">
        <v>0</v>
      </c>
      <c r="I220" s="280">
        <v>2</v>
      </c>
      <c r="J220" s="280">
        <v>0</v>
      </c>
      <c r="K220" s="280">
        <v>2</v>
      </c>
      <c r="L220" s="280">
        <v>2</v>
      </c>
      <c r="M220" s="281">
        <v>5.6</v>
      </c>
    </row>
    <row r="221" spans="1:13" ht="14.25">
      <c r="A221" s="274">
        <v>11150</v>
      </c>
      <c r="B221" s="275" t="s">
        <v>123</v>
      </c>
      <c r="C221" s="275" t="s">
        <v>210</v>
      </c>
      <c r="D221" s="275" t="s">
        <v>211</v>
      </c>
      <c r="E221" s="276">
        <v>2.8</v>
      </c>
      <c r="F221" s="276" t="s">
        <v>122</v>
      </c>
      <c r="G221" s="276">
        <v>0</v>
      </c>
      <c r="H221" s="276">
        <v>8</v>
      </c>
      <c r="I221" s="276">
        <v>3</v>
      </c>
      <c r="J221" s="276">
        <v>0</v>
      </c>
      <c r="K221" s="276">
        <v>11</v>
      </c>
      <c r="L221" s="276">
        <v>3</v>
      </c>
      <c r="M221" s="277">
        <v>8.4</v>
      </c>
    </row>
    <row r="222" spans="1:13" ht="14.25">
      <c r="A222" s="278">
        <v>11150</v>
      </c>
      <c r="B222" s="279" t="s">
        <v>123</v>
      </c>
      <c r="C222" s="279" t="s">
        <v>212</v>
      </c>
      <c r="D222" s="279" t="s">
        <v>213</v>
      </c>
      <c r="E222" s="280">
        <v>2.8</v>
      </c>
      <c r="F222" s="280" t="s">
        <v>119</v>
      </c>
      <c r="G222" s="280">
        <v>0</v>
      </c>
      <c r="H222" s="280">
        <v>1</v>
      </c>
      <c r="I222" s="280">
        <v>0</v>
      </c>
      <c r="J222" s="280">
        <v>0</v>
      </c>
      <c r="K222" s="280">
        <v>1</v>
      </c>
      <c r="L222" s="280">
        <v>0</v>
      </c>
      <c r="M222" s="281">
        <v>0</v>
      </c>
    </row>
    <row r="223" spans="1:13" ht="14.25">
      <c r="A223" s="274">
        <v>11150</v>
      </c>
      <c r="B223" s="275" t="s">
        <v>123</v>
      </c>
      <c r="C223" s="275" t="s">
        <v>212</v>
      </c>
      <c r="D223" s="275" t="s">
        <v>213</v>
      </c>
      <c r="E223" s="276">
        <v>2.8</v>
      </c>
      <c r="F223" s="276" t="s">
        <v>122</v>
      </c>
      <c r="G223" s="276">
        <v>0</v>
      </c>
      <c r="H223" s="276">
        <v>1</v>
      </c>
      <c r="I223" s="276">
        <v>2</v>
      </c>
      <c r="J223" s="276">
        <v>0</v>
      </c>
      <c r="K223" s="276">
        <v>3</v>
      </c>
      <c r="L223" s="276">
        <v>2</v>
      </c>
      <c r="M223" s="277">
        <v>5.6</v>
      </c>
    </row>
    <row r="224" spans="1:13" ht="14.25">
      <c r="A224" s="278">
        <v>11150</v>
      </c>
      <c r="B224" s="279" t="s">
        <v>123</v>
      </c>
      <c r="C224" s="279" t="s">
        <v>661</v>
      </c>
      <c r="D224" s="279" t="s">
        <v>662</v>
      </c>
      <c r="E224" s="280">
        <v>2.25</v>
      </c>
      <c r="F224" s="280" t="s">
        <v>119</v>
      </c>
      <c r="G224" s="280">
        <v>0</v>
      </c>
      <c r="H224" s="280">
        <v>0</v>
      </c>
      <c r="I224" s="280">
        <v>3</v>
      </c>
      <c r="J224" s="280">
        <v>0</v>
      </c>
      <c r="K224" s="280">
        <v>3</v>
      </c>
      <c r="L224" s="280">
        <v>3</v>
      </c>
      <c r="M224" s="281">
        <v>6.75</v>
      </c>
    </row>
    <row r="225" spans="1:13" ht="9.75">
      <c r="A225" s="282">
        <v>11150</v>
      </c>
      <c r="B225" s="283" t="s">
        <v>163</v>
      </c>
      <c r="C225" s="283"/>
      <c r="D225" s="283"/>
      <c r="E225" s="283"/>
      <c r="F225" s="284" t="s">
        <v>132</v>
      </c>
      <c r="G225" s="284">
        <v>22</v>
      </c>
      <c r="H225" s="284">
        <v>0</v>
      </c>
      <c r="I225" s="284">
        <v>9</v>
      </c>
      <c r="J225" s="284">
        <v>0</v>
      </c>
      <c r="K225" s="284">
        <v>31</v>
      </c>
      <c r="L225" s="545"/>
      <c r="M225" s="546"/>
    </row>
    <row r="226" spans="1:13" ht="9.75">
      <c r="A226" s="282">
        <v>11150</v>
      </c>
      <c r="B226" s="283" t="s">
        <v>163</v>
      </c>
      <c r="C226" s="283"/>
      <c r="D226" s="283"/>
      <c r="E226" s="283"/>
      <c r="F226" s="284" t="s">
        <v>109</v>
      </c>
      <c r="G226" s="284">
        <v>0</v>
      </c>
      <c r="H226" s="284">
        <v>2</v>
      </c>
      <c r="I226" s="284">
        <v>37</v>
      </c>
      <c r="J226" s="284">
        <v>1</v>
      </c>
      <c r="K226" s="284">
        <v>40</v>
      </c>
      <c r="L226" s="545"/>
      <c r="M226" s="546"/>
    </row>
    <row r="227" spans="1:13" ht="9.75">
      <c r="A227" s="282">
        <v>11150</v>
      </c>
      <c r="B227" s="283" t="s">
        <v>163</v>
      </c>
      <c r="C227" s="283"/>
      <c r="D227" s="283"/>
      <c r="E227" s="283"/>
      <c r="F227" s="284" t="s">
        <v>110</v>
      </c>
      <c r="G227" s="284">
        <v>163</v>
      </c>
      <c r="H227" s="284">
        <v>1</v>
      </c>
      <c r="I227" s="284">
        <v>59</v>
      </c>
      <c r="J227" s="284">
        <v>0</v>
      </c>
      <c r="K227" s="284">
        <v>223</v>
      </c>
      <c r="L227" s="545"/>
      <c r="M227" s="546"/>
    </row>
    <row r="228" spans="1:13" ht="9.75">
      <c r="A228" s="282">
        <v>11150</v>
      </c>
      <c r="B228" s="283" t="s">
        <v>163</v>
      </c>
      <c r="C228" s="283"/>
      <c r="D228" s="283"/>
      <c r="E228" s="283"/>
      <c r="F228" s="284" t="s">
        <v>113</v>
      </c>
      <c r="G228" s="284">
        <v>0</v>
      </c>
      <c r="H228" s="284">
        <v>37</v>
      </c>
      <c r="I228" s="284">
        <v>819</v>
      </c>
      <c r="J228" s="284">
        <v>6</v>
      </c>
      <c r="K228" s="284">
        <v>862</v>
      </c>
      <c r="L228" s="545"/>
      <c r="M228" s="546"/>
    </row>
    <row r="229" spans="1:13" ht="9.75">
      <c r="A229" s="282">
        <v>11150</v>
      </c>
      <c r="B229" s="283" t="s">
        <v>163</v>
      </c>
      <c r="C229" s="283"/>
      <c r="D229" s="283"/>
      <c r="E229" s="283"/>
      <c r="F229" s="284" t="s">
        <v>116</v>
      </c>
      <c r="G229" s="284">
        <v>0</v>
      </c>
      <c r="H229" s="284">
        <v>0</v>
      </c>
      <c r="I229" s="284">
        <v>0</v>
      </c>
      <c r="J229" s="284">
        <v>0</v>
      </c>
      <c r="K229" s="284">
        <v>0</v>
      </c>
      <c r="L229" s="545"/>
      <c r="M229" s="546"/>
    </row>
    <row r="230" spans="1:13" ht="9.75">
      <c r="A230" s="282">
        <v>11150</v>
      </c>
      <c r="B230" s="283" t="s">
        <v>163</v>
      </c>
      <c r="C230" s="283"/>
      <c r="D230" s="283"/>
      <c r="E230" s="283"/>
      <c r="F230" s="284" t="s">
        <v>114</v>
      </c>
      <c r="G230" s="284">
        <v>0</v>
      </c>
      <c r="H230" s="284">
        <v>0</v>
      </c>
      <c r="I230" s="284">
        <v>0</v>
      </c>
      <c r="J230" s="284">
        <v>0</v>
      </c>
      <c r="K230" s="284">
        <v>0</v>
      </c>
      <c r="L230" s="545"/>
      <c r="M230" s="546"/>
    </row>
    <row r="231" spans="1:13" ht="9.75">
      <c r="A231" s="282">
        <v>11150</v>
      </c>
      <c r="B231" s="283" t="s">
        <v>163</v>
      </c>
      <c r="C231" s="283"/>
      <c r="D231" s="283"/>
      <c r="E231" s="283"/>
      <c r="F231" s="284" t="s">
        <v>119</v>
      </c>
      <c r="G231" s="284">
        <v>0</v>
      </c>
      <c r="H231" s="284">
        <v>4</v>
      </c>
      <c r="I231" s="284">
        <v>37</v>
      </c>
      <c r="J231" s="284">
        <v>0</v>
      </c>
      <c r="K231" s="284">
        <v>41</v>
      </c>
      <c r="L231" s="545"/>
      <c r="M231" s="546"/>
    </row>
    <row r="232" spans="1:13" ht="9.75">
      <c r="A232" s="282">
        <v>11150</v>
      </c>
      <c r="B232" s="283" t="s">
        <v>163</v>
      </c>
      <c r="C232" s="283"/>
      <c r="D232" s="283"/>
      <c r="E232" s="283"/>
      <c r="F232" s="284" t="s">
        <v>122</v>
      </c>
      <c r="G232" s="284">
        <v>0</v>
      </c>
      <c r="H232" s="284">
        <v>86</v>
      </c>
      <c r="I232" s="284">
        <v>103</v>
      </c>
      <c r="J232" s="284">
        <v>0</v>
      </c>
      <c r="K232" s="284">
        <v>189</v>
      </c>
      <c r="L232" s="545"/>
      <c r="M232" s="546"/>
    </row>
    <row r="233" spans="1:13" ht="14.25">
      <c r="A233" s="274">
        <v>11160</v>
      </c>
      <c r="B233" s="275" t="s">
        <v>214</v>
      </c>
      <c r="C233" s="275" t="s">
        <v>215</v>
      </c>
      <c r="D233" s="275" t="s">
        <v>36</v>
      </c>
      <c r="E233" s="276">
        <v>2.25</v>
      </c>
      <c r="F233" s="276" t="s">
        <v>132</v>
      </c>
      <c r="G233" s="276">
        <v>40</v>
      </c>
      <c r="H233" s="276">
        <v>3</v>
      </c>
      <c r="I233" s="276">
        <v>28</v>
      </c>
      <c r="J233" s="276">
        <v>0</v>
      </c>
      <c r="K233" s="276">
        <v>71</v>
      </c>
      <c r="L233" s="276">
        <v>68</v>
      </c>
      <c r="M233" s="277">
        <v>153</v>
      </c>
    </row>
    <row r="234" spans="1:13" ht="14.25">
      <c r="A234" s="278">
        <v>11160</v>
      </c>
      <c r="B234" s="279" t="s">
        <v>214</v>
      </c>
      <c r="C234" s="279" t="s">
        <v>215</v>
      </c>
      <c r="D234" s="279" t="s">
        <v>36</v>
      </c>
      <c r="E234" s="280">
        <v>2.25</v>
      </c>
      <c r="F234" s="280" t="s">
        <v>109</v>
      </c>
      <c r="G234" s="280">
        <v>0</v>
      </c>
      <c r="H234" s="280">
        <v>14</v>
      </c>
      <c r="I234" s="280">
        <v>110</v>
      </c>
      <c r="J234" s="280">
        <v>4</v>
      </c>
      <c r="K234" s="280">
        <v>128</v>
      </c>
      <c r="L234" s="280">
        <v>112</v>
      </c>
      <c r="M234" s="281">
        <v>252</v>
      </c>
    </row>
    <row r="235" spans="1:13" ht="14.25">
      <c r="A235" s="274">
        <v>11160</v>
      </c>
      <c r="B235" s="275" t="s">
        <v>214</v>
      </c>
      <c r="C235" s="275" t="s">
        <v>32</v>
      </c>
      <c r="D235" s="275" t="s">
        <v>33</v>
      </c>
      <c r="E235" s="276">
        <v>2.25</v>
      </c>
      <c r="F235" s="276" t="s">
        <v>110</v>
      </c>
      <c r="G235" s="276">
        <v>296</v>
      </c>
      <c r="H235" s="276">
        <v>1</v>
      </c>
      <c r="I235" s="276">
        <v>47</v>
      </c>
      <c r="J235" s="276">
        <v>1</v>
      </c>
      <c r="K235" s="276">
        <v>345</v>
      </c>
      <c r="L235" s="276">
        <v>343.5</v>
      </c>
      <c r="M235" s="277">
        <v>772.88</v>
      </c>
    </row>
    <row r="236" spans="1:13" ht="14.25">
      <c r="A236" s="278">
        <v>11160</v>
      </c>
      <c r="B236" s="279" t="s">
        <v>214</v>
      </c>
      <c r="C236" s="279" t="s">
        <v>32</v>
      </c>
      <c r="D236" s="279" t="s">
        <v>33</v>
      </c>
      <c r="E236" s="280">
        <v>2.25</v>
      </c>
      <c r="F236" s="280" t="s">
        <v>113</v>
      </c>
      <c r="G236" s="280">
        <v>0</v>
      </c>
      <c r="H236" s="280">
        <v>48</v>
      </c>
      <c r="I236" s="280">
        <v>809</v>
      </c>
      <c r="J236" s="280">
        <v>5</v>
      </c>
      <c r="K236" s="280">
        <v>862</v>
      </c>
      <c r="L236" s="280">
        <v>811.5</v>
      </c>
      <c r="M236" s="281">
        <v>1825.88</v>
      </c>
    </row>
    <row r="237" spans="1:13" ht="14.25">
      <c r="A237" s="274">
        <v>11160</v>
      </c>
      <c r="B237" s="275" t="s">
        <v>214</v>
      </c>
      <c r="C237" s="275" t="s">
        <v>216</v>
      </c>
      <c r="D237" s="275" t="s">
        <v>36</v>
      </c>
      <c r="E237" s="276">
        <v>2.25</v>
      </c>
      <c r="F237" s="276" t="s">
        <v>116</v>
      </c>
      <c r="G237" s="276">
        <v>0</v>
      </c>
      <c r="H237" s="276">
        <v>1</v>
      </c>
      <c r="I237" s="276">
        <v>37</v>
      </c>
      <c r="J237" s="276">
        <v>1</v>
      </c>
      <c r="K237" s="276">
        <v>39</v>
      </c>
      <c r="L237" s="276">
        <v>37.5</v>
      </c>
      <c r="M237" s="277">
        <v>84.38</v>
      </c>
    </row>
    <row r="238" spans="1:13" ht="14.25">
      <c r="A238" s="278">
        <v>11160</v>
      </c>
      <c r="B238" s="279" t="s">
        <v>214</v>
      </c>
      <c r="C238" s="279" t="s">
        <v>216</v>
      </c>
      <c r="D238" s="279" t="s">
        <v>36</v>
      </c>
      <c r="E238" s="280">
        <v>2.25</v>
      </c>
      <c r="F238" s="280" t="s">
        <v>114</v>
      </c>
      <c r="G238" s="280">
        <v>0</v>
      </c>
      <c r="H238" s="280">
        <v>1</v>
      </c>
      <c r="I238" s="280">
        <v>44</v>
      </c>
      <c r="J238" s="280">
        <v>1</v>
      </c>
      <c r="K238" s="280">
        <v>46</v>
      </c>
      <c r="L238" s="280">
        <v>44.5</v>
      </c>
      <c r="M238" s="281">
        <v>100.13</v>
      </c>
    </row>
    <row r="239" spans="1:13" ht="14.25">
      <c r="A239" s="274">
        <v>11160</v>
      </c>
      <c r="B239" s="275" t="s">
        <v>214</v>
      </c>
      <c r="C239" s="275" t="s">
        <v>217</v>
      </c>
      <c r="D239" s="275" t="s">
        <v>218</v>
      </c>
      <c r="E239" s="276">
        <v>2.8</v>
      </c>
      <c r="F239" s="276" t="s">
        <v>119</v>
      </c>
      <c r="G239" s="276">
        <v>0</v>
      </c>
      <c r="H239" s="276">
        <v>0</v>
      </c>
      <c r="I239" s="276">
        <v>1</v>
      </c>
      <c r="J239" s="276">
        <v>0</v>
      </c>
      <c r="K239" s="276">
        <v>1</v>
      </c>
      <c r="L239" s="276">
        <v>1</v>
      </c>
      <c r="M239" s="277">
        <v>2.8</v>
      </c>
    </row>
    <row r="240" spans="1:13" ht="14.25">
      <c r="A240" s="278">
        <v>11160</v>
      </c>
      <c r="B240" s="279" t="s">
        <v>214</v>
      </c>
      <c r="C240" s="279" t="s">
        <v>217</v>
      </c>
      <c r="D240" s="279" t="s">
        <v>218</v>
      </c>
      <c r="E240" s="280">
        <v>2.8</v>
      </c>
      <c r="F240" s="280" t="s">
        <v>122</v>
      </c>
      <c r="G240" s="280">
        <v>0</v>
      </c>
      <c r="H240" s="280">
        <v>3</v>
      </c>
      <c r="I240" s="280">
        <v>11</v>
      </c>
      <c r="J240" s="280">
        <v>0</v>
      </c>
      <c r="K240" s="280">
        <v>14</v>
      </c>
      <c r="L240" s="280">
        <v>11</v>
      </c>
      <c r="M240" s="281">
        <v>30.8</v>
      </c>
    </row>
    <row r="241" spans="1:13" ht="14.25">
      <c r="A241" s="274">
        <v>11160</v>
      </c>
      <c r="B241" s="275" t="s">
        <v>214</v>
      </c>
      <c r="C241" s="275" t="s">
        <v>219</v>
      </c>
      <c r="D241" s="275" t="s">
        <v>220</v>
      </c>
      <c r="E241" s="276">
        <v>2.8</v>
      </c>
      <c r="F241" s="276" t="s">
        <v>119</v>
      </c>
      <c r="G241" s="276">
        <v>0</v>
      </c>
      <c r="H241" s="276">
        <v>0</v>
      </c>
      <c r="I241" s="276">
        <v>4</v>
      </c>
      <c r="J241" s="276">
        <v>0</v>
      </c>
      <c r="K241" s="276">
        <v>4</v>
      </c>
      <c r="L241" s="276">
        <v>4</v>
      </c>
      <c r="M241" s="277">
        <v>11.2</v>
      </c>
    </row>
    <row r="242" spans="1:13" ht="14.25">
      <c r="A242" s="278">
        <v>11160</v>
      </c>
      <c r="B242" s="279" t="s">
        <v>214</v>
      </c>
      <c r="C242" s="279" t="s">
        <v>219</v>
      </c>
      <c r="D242" s="279" t="s">
        <v>220</v>
      </c>
      <c r="E242" s="280">
        <v>2.8</v>
      </c>
      <c r="F242" s="280" t="s">
        <v>122</v>
      </c>
      <c r="G242" s="280">
        <v>0</v>
      </c>
      <c r="H242" s="280">
        <v>2</v>
      </c>
      <c r="I242" s="280">
        <v>9</v>
      </c>
      <c r="J242" s="280">
        <v>0</v>
      </c>
      <c r="K242" s="280">
        <v>11</v>
      </c>
      <c r="L242" s="280">
        <v>9</v>
      </c>
      <c r="M242" s="281">
        <v>25.2</v>
      </c>
    </row>
    <row r="243" spans="1:13" ht="14.25">
      <c r="A243" s="274">
        <v>11160</v>
      </c>
      <c r="B243" s="275" t="s">
        <v>214</v>
      </c>
      <c r="C243" s="275" t="s">
        <v>34</v>
      </c>
      <c r="D243" s="275" t="s">
        <v>33</v>
      </c>
      <c r="E243" s="276">
        <v>2.25</v>
      </c>
      <c r="F243" s="276" t="s">
        <v>119</v>
      </c>
      <c r="G243" s="276">
        <v>0</v>
      </c>
      <c r="H243" s="276">
        <v>0</v>
      </c>
      <c r="I243" s="276">
        <v>18</v>
      </c>
      <c r="J243" s="276">
        <v>0</v>
      </c>
      <c r="K243" s="276">
        <v>18</v>
      </c>
      <c r="L243" s="276">
        <v>18</v>
      </c>
      <c r="M243" s="277">
        <v>40.5</v>
      </c>
    </row>
    <row r="244" spans="1:13" ht="14.25">
      <c r="A244" s="278">
        <v>11160</v>
      </c>
      <c r="B244" s="279" t="s">
        <v>214</v>
      </c>
      <c r="C244" s="279" t="s">
        <v>34</v>
      </c>
      <c r="D244" s="279" t="s">
        <v>33</v>
      </c>
      <c r="E244" s="280">
        <v>2.25</v>
      </c>
      <c r="F244" s="280" t="s">
        <v>122</v>
      </c>
      <c r="G244" s="280">
        <v>0</v>
      </c>
      <c r="H244" s="280">
        <v>16</v>
      </c>
      <c r="I244" s="280">
        <v>56</v>
      </c>
      <c r="J244" s="280">
        <v>0</v>
      </c>
      <c r="K244" s="280">
        <v>72</v>
      </c>
      <c r="L244" s="280">
        <v>56</v>
      </c>
      <c r="M244" s="281">
        <v>126</v>
      </c>
    </row>
    <row r="245" spans="1:13" ht="14.25">
      <c r="A245" s="274">
        <v>11160</v>
      </c>
      <c r="B245" s="275" t="s">
        <v>214</v>
      </c>
      <c r="C245" s="275" t="s">
        <v>35</v>
      </c>
      <c r="D245" s="275" t="s">
        <v>36</v>
      </c>
      <c r="E245" s="276">
        <v>2.25</v>
      </c>
      <c r="F245" s="276" t="s">
        <v>119</v>
      </c>
      <c r="G245" s="276">
        <v>0</v>
      </c>
      <c r="H245" s="276">
        <v>0</v>
      </c>
      <c r="I245" s="276">
        <v>3</v>
      </c>
      <c r="J245" s="276">
        <v>0</v>
      </c>
      <c r="K245" s="276">
        <v>3</v>
      </c>
      <c r="L245" s="276">
        <v>3</v>
      </c>
      <c r="M245" s="277">
        <v>6.75</v>
      </c>
    </row>
    <row r="246" spans="1:13" ht="14.25">
      <c r="A246" s="278">
        <v>11160</v>
      </c>
      <c r="B246" s="279" t="s">
        <v>214</v>
      </c>
      <c r="C246" s="279" t="s">
        <v>35</v>
      </c>
      <c r="D246" s="279" t="s">
        <v>36</v>
      </c>
      <c r="E246" s="280">
        <v>2.25</v>
      </c>
      <c r="F246" s="280" t="s">
        <v>122</v>
      </c>
      <c r="G246" s="280">
        <v>0</v>
      </c>
      <c r="H246" s="280">
        <v>1</v>
      </c>
      <c r="I246" s="280">
        <v>8</v>
      </c>
      <c r="J246" s="280">
        <v>0</v>
      </c>
      <c r="K246" s="280">
        <v>9</v>
      </c>
      <c r="L246" s="280">
        <v>8</v>
      </c>
      <c r="M246" s="281">
        <v>18</v>
      </c>
    </row>
    <row r="247" spans="1:13" ht="9.75">
      <c r="A247" s="282">
        <v>11160</v>
      </c>
      <c r="B247" s="283" t="s">
        <v>163</v>
      </c>
      <c r="C247" s="283"/>
      <c r="D247" s="283"/>
      <c r="E247" s="283"/>
      <c r="F247" s="284" t="s">
        <v>132</v>
      </c>
      <c r="G247" s="284">
        <v>40</v>
      </c>
      <c r="H247" s="284">
        <v>3</v>
      </c>
      <c r="I247" s="284">
        <v>28</v>
      </c>
      <c r="J247" s="284">
        <v>0</v>
      </c>
      <c r="K247" s="284">
        <v>71</v>
      </c>
      <c r="L247" s="545"/>
      <c r="M247" s="546"/>
    </row>
    <row r="248" spans="1:13" ht="9.75">
      <c r="A248" s="282">
        <v>11160</v>
      </c>
      <c r="B248" s="283" t="s">
        <v>163</v>
      </c>
      <c r="C248" s="283"/>
      <c r="D248" s="283"/>
      <c r="E248" s="283"/>
      <c r="F248" s="284" t="s">
        <v>109</v>
      </c>
      <c r="G248" s="284">
        <v>0</v>
      </c>
      <c r="H248" s="284">
        <v>14</v>
      </c>
      <c r="I248" s="284">
        <v>110</v>
      </c>
      <c r="J248" s="284">
        <v>4</v>
      </c>
      <c r="K248" s="284">
        <v>128</v>
      </c>
      <c r="L248" s="545"/>
      <c r="M248" s="546"/>
    </row>
    <row r="249" spans="1:13" ht="9.75">
      <c r="A249" s="282">
        <v>11160</v>
      </c>
      <c r="B249" s="283" t="s">
        <v>163</v>
      </c>
      <c r="C249" s="283"/>
      <c r="D249" s="283"/>
      <c r="E249" s="283"/>
      <c r="F249" s="284" t="s">
        <v>110</v>
      </c>
      <c r="G249" s="284">
        <v>296</v>
      </c>
      <c r="H249" s="284">
        <v>1</v>
      </c>
      <c r="I249" s="284">
        <v>47</v>
      </c>
      <c r="J249" s="284">
        <v>1</v>
      </c>
      <c r="K249" s="284">
        <v>345</v>
      </c>
      <c r="L249" s="545"/>
      <c r="M249" s="546"/>
    </row>
    <row r="250" spans="1:13" ht="9.75">
      <c r="A250" s="282">
        <v>11160</v>
      </c>
      <c r="B250" s="283" t="s">
        <v>163</v>
      </c>
      <c r="C250" s="283"/>
      <c r="D250" s="283"/>
      <c r="E250" s="283"/>
      <c r="F250" s="284" t="s">
        <v>113</v>
      </c>
      <c r="G250" s="284">
        <v>0</v>
      </c>
      <c r="H250" s="284">
        <v>48</v>
      </c>
      <c r="I250" s="284">
        <v>809</v>
      </c>
      <c r="J250" s="284">
        <v>5</v>
      </c>
      <c r="K250" s="284">
        <v>862</v>
      </c>
      <c r="L250" s="545"/>
      <c r="M250" s="546"/>
    </row>
    <row r="251" spans="1:13" ht="9.75">
      <c r="A251" s="282">
        <v>11160</v>
      </c>
      <c r="B251" s="283" t="s">
        <v>163</v>
      </c>
      <c r="C251" s="283"/>
      <c r="D251" s="283"/>
      <c r="E251" s="283"/>
      <c r="F251" s="284" t="s">
        <v>116</v>
      </c>
      <c r="G251" s="284">
        <v>0</v>
      </c>
      <c r="H251" s="284">
        <v>1</v>
      </c>
      <c r="I251" s="284">
        <v>37</v>
      </c>
      <c r="J251" s="284">
        <v>1</v>
      </c>
      <c r="K251" s="284">
        <v>39</v>
      </c>
      <c r="L251" s="545"/>
      <c r="M251" s="546"/>
    </row>
    <row r="252" spans="1:13" ht="9.75">
      <c r="A252" s="282">
        <v>11160</v>
      </c>
      <c r="B252" s="283" t="s">
        <v>163</v>
      </c>
      <c r="C252" s="283"/>
      <c r="D252" s="283"/>
      <c r="E252" s="283"/>
      <c r="F252" s="284" t="s">
        <v>114</v>
      </c>
      <c r="G252" s="284">
        <v>0</v>
      </c>
      <c r="H252" s="284">
        <v>1</v>
      </c>
      <c r="I252" s="284">
        <v>44</v>
      </c>
      <c r="J252" s="284">
        <v>1</v>
      </c>
      <c r="K252" s="284">
        <v>46</v>
      </c>
      <c r="L252" s="545"/>
      <c r="M252" s="546"/>
    </row>
    <row r="253" spans="1:13" ht="9.75">
      <c r="A253" s="282">
        <v>11160</v>
      </c>
      <c r="B253" s="283" t="s">
        <v>163</v>
      </c>
      <c r="C253" s="283"/>
      <c r="D253" s="283"/>
      <c r="E253" s="283"/>
      <c r="F253" s="284" t="s">
        <v>119</v>
      </c>
      <c r="G253" s="284">
        <v>0</v>
      </c>
      <c r="H253" s="284">
        <v>0</v>
      </c>
      <c r="I253" s="284">
        <v>26</v>
      </c>
      <c r="J253" s="284">
        <v>0</v>
      </c>
      <c r="K253" s="284">
        <v>26</v>
      </c>
      <c r="L253" s="545"/>
      <c r="M253" s="546"/>
    </row>
    <row r="254" spans="1:13" ht="9.75">
      <c r="A254" s="282">
        <v>11160</v>
      </c>
      <c r="B254" s="283" t="s">
        <v>163</v>
      </c>
      <c r="C254" s="283"/>
      <c r="D254" s="283"/>
      <c r="E254" s="283"/>
      <c r="F254" s="284" t="s">
        <v>122</v>
      </c>
      <c r="G254" s="284">
        <v>0</v>
      </c>
      <c r="H254" s="284">
        <v>22</v>
      </c>
      <c r="I254" s="284">
        <v>84</v>
      </c>
      <c r="J254" s="284">
        <v>0</v>
      </c>
      <c r="K254" s="284">
        <v>106</v>
      </c>
      <c r="L254" s="545"/>
      <c r="M254" s="546"/>
    </row>
    <row r="255" spans="1:13" ht="14.25">
      <c r="A255" s="274">
        <v>11210</v>
      </c>
      <c r="B255" s="275" t="s">
        <v>221</v>
      </c>
      <c r="C255" s="275" t="s">
        <v>222</v>
      </c>
      <c r="D255" s="275" t="s">
        <v>62</v>
      </c>
      <c r="E255" s="276">
        <v>1</v>
      </c>
      <c r="F255" s="276" t="s">
        <v>132</v>
      </c>
      <c r="G255" s="276">
        <v>17</v>
      </c>
      <c r="H255" s="276">
        <v>5</v>
      </c>
      <c r="I255" s="276">
        <v>21</v>
      </c>
      <c r="J255" s="276">
        <v>0</v>
      </c>
      <c r="K255" s="276">
        <v>43</v>
      </c>
      <c r="L255" s="276">
        <v>38</v>
      </c>
      <c r="M255" s="277">
        <v>38</v>
      </c>
    </row>
    <row r="256" spans="1:13" ht="14.25">
      <c r="A256" s="278">
        <v>11210</v>
      </c>
      <c r="B256" s="279" t="s">
        <v>221</v>
      </c>
      <c r="C256" s="279" t="s">
        <v>222</v>
      </c>
      <c r="D256" s="279" t="s">
        <v>62</v>
      </c>
      <c r="E256" s="280">
        <v>1</v>
      </c>
      <c r="F256" s="280" t="s">
        <v>109</v>
      </c>
      <c r="G256" s="280">
        <v>0</v>
      </c>
      <c r="H256" s="280">
        <v>27</v>
      </c>
      <c r="I256" s="280">
        <v>48</v>
      </c>
      <c r="J256" s="280">
        <v>2</v>
      </c>
      <c r="K256" s="280">
        <v>77</v>
      </c>
      <c r="L256" s="280">
        <v>49</v>
      </c>
      <c r="M256" s="281">
        <v>49</v>
      </c>
    </row>
    <row r="257" spans="1:13" ht="14.25">
      <c r="A257" s="274">
        <v>11210</v>
      </c>
      <c r="B257" s="275" t="s">
        <v>221</v>
      </c>
      <c r="C257" s="275" t="s">
        <v>223</v>
      </c>
      <c r="D257" s="275" t="s">
        <v>224</v>
      </c>
      <c r="E257" s="276">
        <v>1</v>
      </c>
      <c r="F257" s="276" t="s">
        <v>132</v>
      </c>
      <c r="G257" s="276">
        <v>8</v>
      </c>
      <c r="H257" s="276">
        <v>1</v>
      </c>
      <c r="I257" s="276">
        <v>9</v>
      </c>
      <c r="J257" s="276">
        <v>0</v>
      </c>
      <c r="K257" s="276">
        <v>18</v>
      </c>
      <c r="L257" s="276">
        <v>17</v>
      </c>
      <c r="M257" s="277">
        <v>17</v>
      </c>
    </row>
    <row r="258" spans="1:13" ht="14.25">
      <c r="A258" s="278">
        <v>11210</v>
      </c>
      <c r="B258" s="279" t="s">
        <v>221</v>
      </c>
      <c r="C258" s="279" t="s">
        <v>223</v>
      </c>
      <c r="D258" s="279" t="s">
        <v>224</v>
      </c>
      <c r="E258" s="280">
        <v>1</v>
      </c>
      <c r="F258" s="280" t="s">
        <v>109</v>
      </c>
      <c r="G258" s="280">
        <v>0</v>
      </c>
      <c r="H258" s="280">
        <v>5</v>
      </c>
      <c r="I258" s="280">
        <v>7</v>
      </c>
      <c r="J258" s="280">
        <v>0</v>
      </c>
      <c r="K258" s="280">
        <v>12</v>
      </c>
      <c r="L258" s="280">
        <v>7</v>
      </c>
      <c r="M258" s="281">
        <v>7</v>
      </c>
    </row>
    <row r="259" spans="1:13" ht="14.25">
      <c r="A259" s="274">
        <v>11210</v>
      </c>
      <c r="B259" s="275" t="s">
        <v>221</v>
      </c>
      <c r="C259" s="275" t="s">
        <v>225</v>
      </c>
      <c r="D259" s="275" t="s">
        <v>226</v>
      </c>
      <c r="E259" s="276">
        <v>1</v>
      </c>
      <c r="F259" s="276" t="s">
        <v>132</v>
      </c>
      <c r="G259" s="276">
        <v>88</v>
      </c>
      <c r="H259" s="276">
        <v>1</v>
      </c>
      <c r="I259" s="276">
        <v>42</v>
      </c>
      <c r="J259" s="276">
        <v>0</v>
      </c>
      <c r="K259" s="276">
        <v>131</v>
      </c>
      <c r="L259" s="276">
        <v>130</v>
      </c>
      <c r="M259" s="277">
        <v>130</v>
      </c>
    </row>
    <row r="260" spans="1:13" ht="14.25">
      <c r="A260" s="278">
        <v>11210</v>
      </c>
      <c r="B260" s="279" t="s">
        <v>221</v>
      </c>
      <c r="C260" s="279" t="s">
        <v>225</v>
      </c>
      <c r="D260" s="279" t="s">
        <v>226</v>
      </c>
      <c r="E260" s="280">
        <v>1</v>
      </c>
      <c r="F260" s="280" t="s">
        <v>109</v>
      </c>
      <c r="G260" s="280">
        <v>0</v>
      </c>
      <c r="H260" s="280">
        <v>43</v>
      </c>
      <c r="I260" s="280">
        <v>178</v>
      </c>
      <c r="J260" s="280">
        <v>2</v>
      </c>
      <c r="K260" s="280">
        <v>223</v>
      </c>
      <c r="L260" s="280">
        <v>179</v>
      </c>
      <c r="M260" s="281">
        <v>179</v>
      </c>
    </row>
    <row r="261" spans="1:13" ht="14.25">
      <c r="A261" s="274">
        <v>11210</v>
      </c>
      <c r="B261" s="275" t="s">
        <v>221</v>
      </c>
      <c r="C261" s="275" t="s">
        <v>227</v>
      </c>
      <c r="D261" s="275" t="s">
        <v>50</v>
      </c>
      <c r="E261" s="276">
        <v>1</v>
      </c>
      <c r="F261" s="276" t="s">
        <v>132</v>
      </c>
      <c r="G261" s="276">
        <v>17</v>
      </c>
      <c r="H261" s="276">
        <v>4</v>
      </c>
      <c r="I261" s="276">
        <v>10</v>
      </c>
      <c r="J261" s="276">
        <v>0</v>
      </c>
      <c r="K261" s="276">
        <v>31</v>
      </c>
      <c r="L261" s="276">
        <v>27</v>
      </c>
      <c r="M261" s="277">
        <v>27</v>
      </c>
    </row>
    <row r="262" spans="1:13" ht="14.25">
      <c r="A262" s="278">
        <v>11210</v>
      </c>
      <c r="B262" s="279" t="s">
        <v>221</v>
      </c>
      <c r="C262" s="279" t="s">
        <v>227</v>
      </c>
      <c r="D262" s="279" t="s">
        <v>50</v>
      </c>
      <c r="E262" s="280">
        <v>1</v>
      </c>
      <c r="F262" s="280" t="s">
        <v>109</v>
      </c>
      <c r="G262" s="280">
        <v>0</v>
      </c>
      <c r="H262" s="280">
        <v>6</v>
      </c>
      <c r="I262" s="280">
        <v>46</v>
      </c>
      <c r="J262" s="280">
        <v>0</v>
      </c>
      <c r="K262" s="280">
        <v>52</v>
      </c>
      <c r="L262" s="280">
        <v>46</v>
      </c>
      <c r="M262" s="281">
        <v>46</v>
      </c>
    </row>
    <row r="263" spans="1:13" ht="14.25">
      <c r="A263" s="274">
        <v>11210</v>
      </c>
      <c r="B263" s="275" t="s">
        <v>221</v>
      </c>
      <c r="C263" s="275" t="s">
        <v>228</v>
      </c>
      <c r="D263" s="275" t="s">
        <v>54</v>
      </c>
      <c r="E263" s="276">
        <v>1</v>
      </c>
      <c r="F263" s="276" t="s">
        <v>132</v>
      </c>
      <c r="G263" s="276">
        <v>16</v>
      </c>
      <c r="H263" s="276">
        <v>4</v>
      </c>
      <c r="I263" s="276">
        <v>12</v>
      </c>
      <c r="J263" s="276">
        <v>0</v>
      </c>
      <c r="K263" s="276">
        <v>32</v>
      </c>
      <c r="L263" s="276">
        <v>28</v>
      </c>
      <c r="M263" s="277">
        <v>28</v>
      </c>
    </row>
    <row r="264" spans="1:13" ht="14.25">
      <c r="A264" s="278">
        <v>11210</v>
      </c>
      <c r="B264" s="279" t="s">
        <v>221</v>
      </c>
      <c r="C264" s="279" t="s">
        <v>228</v>
      </c>
      <c r="D264" s="279" t="s">
        <v>54</v>
      </c>
      <c r="E264" s="280">
        <v>1</v>
      </c>
      <c r="F264" s="280" t="s">
        <v>109</v>
      </c>
      <c r="G264" s="280">
        <v>0</v>
      </c>
      <c r="H264" s="280">
        <v>12</v>
      </c>
      <c r="I264" s="280">
        <v>42</v>
      </c>
      <c r="J264" s="280">
        <v>0</v>
      </c>
      <c r="K264" s="280">
        <v>54</v>
      </c>
      <c r="L264" s="280">
        <v>42</v>
      </c>
      <c r="M264" s="281">
        <v>42</v>
      </c>
    </row>
    <row r="265" spans="1:13" ht="14.25">
      <c r="A265" s="274">
        <v>11210</v>
      </c>
      <c r="B265" s="275" t="s">
        <v>221</v>
      </c>
      <c r="C265" s="275" t="s">
        <v>229</v>
      </c>
      <c r="D265" s="275" t="s">
        <v>230</v>
      </c>
      <c r="E265" s="276">
        <v>1</v>
      </c>
      <c r="F265" s="276" t="s">
        <v>132</v>
      </c>
      <c r="G265" s="276">
        <v>16</v>
      </c>
      <c r="H265" s="276">
        <v>3</v>
      </c>
      <c r="I265" s="276">
        <v>8</v>
      </c>
      <c r="J265" s="276">
        <v>1</v>
      </c>
      <c r="K265" s="276">
        <v>28</v>
      </c>
      <c r="L265" s="276">
        <v>24.5</v>
      </c>
      <c r="M265" s="277">
        <v>24.5</v>
      </c>
    </row>
    <row r="266" spans="1:13" ht="14.25">
      <c r="A266" s="278">
        <v>11210</v>
      </c>
      <c r="B266" s="279" t="s">
        <v>221</v>
      </c>
      <c r="C266" s="279" t="s">
        <v>229</v>
      </c>
      <c r="D266" s="279" t="s">
        <v>230</v>
      </c>
      <c r="E266" s="280">
        <v>1</v>
      </c>
      <c r="F266" s="280" t="s">
        <v>109</v>
      </c>
      <c r="G266" s="280">
        <v>0</v>
      </c>
      <c r="H266" s="280">
        <v>11</v>
      </c>
      <c r="I266" s="280">
        <v>56</v>
      </c>
      <c r="J266" s="280">
        <v>2</v>
      </c>
      <c r="K266" s="280">
        <v>69</v>
      </c>
      <c r="L266" s="280">
        <v>57</v>
      </c>
      <c r="M266" s="281">
        <v>57</v>
      </c>
    </row>
    <row r="267" spans="1:13" ht="14.25">
      <c r="A267" s="274">
        <v>11210</v>
      </c>
      <c r="B267" s="275" t="s">
        <v>221</v>
      </c>
      <c r="C267" s="275" t="s">
        <v>231</v>
      </c>
      <c r="D267" s="275" t="s">
        <v>39</v>
      </c>
      <c r="E267" s="276">
        <v>1</v>
      </c>
      <c r="F267" s="276" t="s">
        <v>132</v>
      </c>
      <c r="G267" s="276">
        <v>69</v>
      </c>
      <c r="H267" s="276">
        <v>15</v>
      </c>
      <c r="I267" s="276">
        <v>36</v>
      </c>
      <c r="J267" s="276">
        <v>0</v>
      </c>
      <c r="K267" s="276">
        <v>120</v>
      </c>
      <c r="L267" s="276">
        <v>105</v>
      </c>
      <c r="M267" s="277">
        <v>105</v>
      </c>
    </row>
    <row r="268" spans="1:13" ht="14.25">
      <c r="A268" s="278">
        <v>11210</v>
      </c>
      <c r="B268" s="279" t="s">
        <v>221</v>
      </c>
      <c r="C268" s="279" t="s">
        <v>231</v>
      </c>
      <c r="D268" s="279" t="s">
        <v>39</v>
      </c>
      <c r="E268" s="280">
        <v>1</v>
      </c>
      <c r="F268" s="280" t="s">
        <v>109</v>
      </c>
      <c r="G268" s="280">
        <v>0</v>
      </c>
      <c r="H268" s="280">
        <v>94</v>
      </c>
      <c r="I268" s="280">
        <v>237</v>
      </c>
      <c r="J268" s="280">
        <v>4</v>
      </c>
      <c r="K268" s="280">
        <v>335</v>
      </c>
      <c r="L268" s="280">
        <v>239</v>
      </c>
      <c r="M268" s="281">
        <v>239</v>
      </c>
    </row>
    <row r="269" spans="1:13" ht="14.25">
      <c r="A269" s="274">
        <v>11210</v>
      </c>
      <c r="B269" s="275" t="s">
        <v>221</v>
      </c>
      <c r="C269" s="275" t="s">
        <v>232</v>
      </c>
      <c r="D269" s="275" t="s">
        <v>233</v>
      </c>
      <c r="E269" s="276">
        <v>1</v>
      </c>
      <c r="F269" s="276" t="s">
        <v>132</v>
      </c>
      <c r="G269" s="276">
        <v>35</v>
      </c>
      <c r="H269" s="276">
        <v>4</v>
      </c>
      <c r="I269" s="276">
        <v>21</v>
      </c>
      <c r="J269" s="276">
        <v>0</v>
      </c>
      <c r="K269" s="276">
        <v>60</v>
      </c>
      <c r="L269" s="276">
        <v>56</v>
      </c>
      <c r="M269" s="277">
        <v>56</v>
      </c>
    </row>
    <row r="270" spans="1:13" ht="14.25">
      <c r="A270" s="278">
        <v>11210</v>
      </c>
      <c r="B270" s="279" t="s">
        <v>221</v>
      </c>
      <c r="C270" s="279" t="s">
        <v>232</v>
      </c>
      <c r="D270" s="279" t="s">
        <v>233</v>
      </c>
      <c r="E270" s="280">
        <v>1</v>
      </c>
      <c r="F270" s="280" t="s">
        <v>109</v>
      </c>
      <c r="G270" s="280">
        <v>0</v>
      </c>
      <c r="H270" s="280">
        <v>26</v>
      </c>
      <c r="I270" s="280">
        <v>97</v>
      </c>
      <c r="J270" s="280">
        <v>3</v>
      </c>
      <c r="K270" s="280">
        <v>126</v>
      </c>
      <c r="L270" s="280">
        <v>98.5</v>
      </c>
      <c r="M270" s="281">
        <v>98.5</v>
      </c>
    </row>
    <row r="271" spans="1:13" ht="14.25">
      <c r="A271" s="274">
        <v>11210</v>
      </c>
      <c r="B271" s="275" t="s">
        <v>221</v>
      </c>
      <c r="C271" s="275" t="s">
        <v>234</v>
      </c>
      <c r="D271" s="275" t="s">
        <v>41</v>
      </c>
      <c r="E271" s="276">
        <v>1.2</v>
      </c>
      <c r="F271" s="276" t="s">
        <v>132</v>
      </c>
      <c r="G271" s="276">
        <v>167</v>
      </c>
      <c r="H271" s="276">
        <v>13</v>
      </c>
      <c r="I271" s="276">
        <v>106</v>
      </c>
      <c r="J271" s="276">
        <v>3</v>
      </c>
      <c r="K271" s="276">
        <v>289</v>
      </c>
      <c r="L271" s="276">
        <v>274.5</v>
      </c>
      <c r="M271" s="277">
        <v>329.4</v>
      </c>
    </row>
    <row r="272" spans="1:13" ht="14.25">
      <c r="A272" s="278">
        <v>11210</v>
      </c>
      <c r="B272" s="279" t="s">
        <v>221</v>
      </c>
      <c r="C272" s="279" t="s">
        <v>234</v>
      </c>
      <c r="D272" s="279" t="s">
        <v>41</v>
      </c>
      <c r="E272" s="280">
        <v>1.2</v>
      </c>
      <c r="F272" s="280" t="s">
        <v>109</v>
      </c>
      <c r="G272" s="280">
        <v>0</v>
      </c>
      <c r="H272" s="280">
        <v>130</v>
      </c>
      <c r="I272" s="280">
        <v>449</v>
      </c>
      <c r="J272" s="280">
        <v>6</v>
      </c>
      <c r="K272" s="280">
        <v>585</v>
      </c>
      <c r="L272" s="280">
        <v>452</v>
      </c>
      <c r="M272" s="281">
        <v>542.4</v>
      </c>
    </row>
    <row r="273" spans="1:13" ht="14.25">
      <c r="A273" s="274">
        <v>11210</v>
      </c>
      <c r="B273" s="275" t="s">
        <v>221</v>
      </c>
      <c r="C273" s="275" t="s">
        <v>235</v>
      </c>
      <c r="D273" s="275" t="s">
        <v>236</v>
      </c>
      <c r="E273" s="276">
        <v>1.2</v>
      </c>
      <c r="F273" s="276" t="s">
        <v>132</v>
      </c>
      <c r="G273" s="276">
        <v>35</v>
      </c>
      <c r="H273" s="276">
        <v>2</v>
      </c>
      <c r="I273" s="276">
        <v>16</v>
      </c>
      <c r="J273" s="276">
        <v>0</v>
      </c>
      <c r="K273" s="276">
        <v>53</v>
      </c>
      <c r="L273" s="276">
        <v>51</v>
      </c>
      <c r="M273" s="277">
        <v>61.2</v>
      </c>
    </row>
    <row r="274" spans="1:13" ht="14.25">
      <c r="A274" s="278">
        <v>11210</v>
      </c>
      <c r="B274" s="279" t="s">
        <v>221</v>
      </c>
      <c r="C274" s="279" t="s">
        <v>235</v>
      </c>
      <c r="D274" s="279" t="s">
        <v>236</v>
      </c>
      <c r="E274" s="280">
        <v>1.2</v>
      </c>
      <c r="F274" s="280" t="s">
        <v>109</v>
      </c>
      <c r="G274" s="280">
        <v>0</v>
      </c>
      <c r="H274" s="280">
        <v>18</v>
      </c>
      <c r="I274" s="280">
        <v>92</v>
      </c>
      <c r="J274" s="280">
        <v>2</v>
      </c>
      <c r="K274" s="280">
        <v>112</v>
      </c>
      <c r="L274" s="280">
        <v>93</v>
      </c>
      <c r="M274" s="281">
        <v>111.6</v>
      </c>
    </row>
    <row r="275" spans="1:13" ht="14.25">
      <c r="A275" s="274">
        <v>11210</v>
      </c>
      <c r="B275" s="275" t="s">
        <v>221</v>
      </c>
      <c r="C275" s="275" t="s">
        <v>237</v>
      </c>
      <c r="D275" s="275" t="s">
        <v>238</v>
      </c>
      <c r="E275" s="276">
        <v>1.2</v>
      </c>
      <c r="F275" s="276" t="s">
        <v>132</v>
      </c>
      <c r="G275" s="276">
        <v>13</v>
      </c>
      <c r="H275" s="276">
        <v>0</v>
      </c>
      <c r="I275" s="276">
        <v>7</v>
      </c>
      <c r="J275" s="276">
        <v>0</v>
      </c>
      <c r="K275" s="276">
        <v>20</v>
      </c>
      <c r="L275" s="276">
        <v>20</v>
      </c>
      <c r="M275" s="277">
        <v>24</v>
      </c>
    </row>
    <row r="276" spans="1:13" ht="14.25">
      <c r="A276" s="278">
        <v>11210</v>
      </c>
      <c r="B276" s="279" t="s">
        <v>221</v>
      </c>
      <c r="C276" s="279" t="s">
        <v>237</v>
      </c>
      <c r="D276" s="279" t="s">
        <v>238</v>
      </c>
      <c r="E276" s="280">
        <v>1.2</v>
      </c>
      <c r="F276" s="280" t="s">
        <v>109</v>
      </c>
      <c r="G276" s="280">
        <v>0</v>
      </c>
      <c r="H276" s="280">
        <v>11</v>
      </c>
      <c r="I276" s="280">
        <v>29</v>
      </c>
      <c r="J276" s="280">
        <v>1</v>
      </c>
      <c r="K276" s="280">
        <v>41</v>
      </c>
      <c r="L276" s="280">
        <v>29.5</v>
      </c>
      <c r="M276" s="281">
        <v>35.4</v>
      </c>
    </row>
    <row r="277" spans="1:13" ht="14.25">
      <c r="A277" s="274">
        <v>11210</v>
      </c>
      <c r="B277" s="275" t="s">
        <v>221</v>
      </c>
      <c r="C277" s="275" t="s">
        <v>239</v>
      </c>
      <c r="D277" s="275" t="s">
        <v>240</v>
      </c>
      <c r="E277" s="276">
        <v>1.2</v>
      </c>
      <c r="F277" s="276" t="s">
        <v>132</v>
      </c>
      <c r="G277" s="276">
        <v>9</v>
      </c>
      <c r="H277" s="276">
        <v>3</v>
      </c>
      <c r="I277" s="276">
        <v>4</v>
      </c>
      <c r="J277" s="276">
        <v>0</v>
      </c>
      <c r="K277" s="276">
        <v>16</v>
      </c>
      <c r="L277" s="276">
        <v>13</v>
      </c>
      <c r="M277" s="277">
        <v>15.6</v>
      </c>
    </row>
    <row r="278" spans="1:13" ht="14.25">
      <c r="A278" s="278">
        <v>11210</v>
      </c>
      <c r="B278" s="279" t="s">
        <v>221</v>
      </c>
      <c r="C278" s="279" t="s">
        <v>239</v>
      </c>
      <c r="D278" s="279" t="s">
        <v>240</v>
      </c>
      <c r="E278" s="280">
        <v>1.2</v>
      </c>
      <c r="F278" s="280" t="s">
        <v>109</v>
      </c>
      <c r="G278" s="280">
        <v>0</v>
      </c>
      <c r="H278" s="280">
        <v>5</v>
      </c>
      <c r="I278" s="280">
        <v>40</v>
      </c>
      <c r="J278" s="280">
        <v>0</v>
      </c>
      <c r="K278" s="280">
        <v>45</v>
      </c>
      <c r="L278" s="280">
        <v>40</v>
      </c>
      <c r="M278" s="281">
        <v>48</v>
      </c>
    </row>
    <row r="279" spans="1:13" ht="14.25">
      <c r="A279" s="274">
        <v>11210</v>
      </c>
      <c r="B279" s="275" t="s">
        <v>221</v>
      </c>
      <c r="C279" s="275" t="s">
        <v>241</v>
      </c>
      <c r="D279" s="275" t="s">
        <v>93</v>
      </c>
      <c r="E279" s="276">
        <v>1</v>
      </c>
      <c r="F279" s="276" t="s">
        <v>132</v>
      </c>
      <c r="G279" s="276">
        <v>26</v>
      </c>
      <c r="H279" s="276">
        <v>9</v>
      </c>
      <c r="I279" s="276">
        <v>23</v>
      </c>
      <c r="J279" s="276">
        <v>2</v>
      </c>
      <c r="K279" s="276">
        <v>60</v>
      </c>
      <c r="L279" s="276">
        <v>50</v>
      </c>
      <c r="M279" s="277">
        <v>50</v>
      </c>
    </row>
    <row r="280" spans="1:13" ht="14.25">
      <c r="A280" s="278">
        <v>11210</v>
      </c>
      <c r="B280" s="279" t="s">
        <v>221</v>
      </c>
      <c r="C280" s="279" t="s">
        <v>241</v>
      </c>
      <c r="D280" s="279" t="s">
        <v>93</v>
      </c>
      <c r="E280" s="280">
        <v>1</v>
      </c>
      <c r="F280" s="280" t="s">
        <v>109</v>
      </c>
      <c r="G280" s="280">
        <v>0</v>
      </c>
      <c r="H280" s="280">
        <v>36</v>
      </c>
      <c r="I280" s="280">
        <v>98</v>
      </c>
      <c r="J280" s="280">
        <v>1</v>
      </c>
      <c r="K280" s="280">
        <v>135</v>
      </c>
      <c r="L280" s="280">
        <v>98.5</v>
      </c>
      <c r="M280" s="281">
        <v>98.5</v>
      </c>
    </row>
    <row r="281" spans="1:13" ht="14.25">
      <c r="A281" s="274">
        <v>11210</v>
      </c>
      <c r="B281" s="275" t="s">
        <v>221</v>
      </c>
      <c r="C281" s="275" t="s">
        <v>242</v>
      </c>
      <c r="D281" s="275" t="s">
        <v>20</v>
      </c>
      <c r="E281" s="276">
        <v>1</v>
      </c>
      <c r="F281" s="276" t="s">
        <v>132</v>
      </c>
      <c r="G281" s="276">
        <v>33</v>
      </c>
      <c r="H281" s="276">
        <v>2</v>
      </c>
      <c r="I281" s="276">
        <v>33</v>
      </c>
      <c r="J281" s="276">
        <v>0</v>
      </c>
      <c r="K281" s="276">
        <v>68</v>
      </c>
      <c r="L281" s="276">
        <v>66</v>
      </c>
      <c r="M281" s="277">
        <v>66</v>
      </c>
    </row>
    <row r="282" spans="1:13" ht="14.25">
      <c r="A282" s="278">
        <v>11210</v>
      </c>
      <c r="B282" s="279" t="s">
        <v>221</v>
      </c>
      <c r="C282" s="279" t="s">
        <v>242</v>
      </c>
      <c r="D282" s="279" t="s">
        <v>20</v>
      </c>
      <c r="E282" s="280">
        <v>1</v>
      </c>
      <c r="F282" s="280" t="s">
        <v>109</v>
      </c>
      <c r="G282" s="280">
        <v>0</v>
      </c>
      <c r="H282" s="280">
        <v>22</v>
      </c>
      <c r="I282" s="280">
        <v>117</v>
      </c>
      <c r="J282" s="280">
        <v>3</v>
      </c>
      <c r="K282" s="280">
        <v>142</v>
      </c>
      <c r="L282" s="280">
        <v>118.5</v>
      </c>
      <c r="M282" s="281">
        <v>118.5</v>
      </c>
    </row>
    <row r="283" spans="1:13" ht="14.25">
      <c r="A283" s="274">
        <v>11210</v>
      </c>
      <c r="B283" s="275" t="s">
        <v>221</v>
      </c>
      <c r="C283" s="275" t="s">
        <v>243</v>
      </c>
      <c r="D283" s="275" t="s">
        <v>244</v>
      </c>
      <c r="E283" s="276">
        <v>1</v>
      </c>
      <c r="F283" s="276" t="s">
        <v>132</v>
      </c>
      <c r="G283" s="276">
        <v>51</v>
      </c>
      <c r="H283" s="276">
        <v>4</v>
      </c>
      <c r="I283" s="276">
        <v>27</v>
      </c>
      <c r="J283" s="276">
        <v>1</v>
      </c>
      <c r="K283" s="276">
        <v>83</v>
      </c>
      <c r="L283" s="276">
        <v>78.5</v>
      </c>
      <c r="M283" s="277">
        <v>78.5</v>
      </c>
    </row>
    <row r="284" spans="1:13" ht="14.25">
      <c r="A284" s="278">
        <v>11210</v>
      </c>
      <c r="B284" s="279" t="s">
        <v>221</v>
      </c>
      <c r="C284" s="279" t="s">
        <v>243</v>
      </c>
      <c r="D284" s="279" t="s">
        <v>244</v>
      </c>
      <c r="E284" s="280">
        <v>1</v>
      </c>
      <c r="F284" s="280" t="s">
        <v>109</v>
      </c>
      <c r="G284" s="280">
        <v>0</v>
      </c>
      <c r="H284" s="280">
        <v>47</v>
      </c>
      <c r="I284" s="280">
        <v>145</v>
      </c>
      <c r="J284" s="280">
        <v>3</v>
      </c>
      <c r="K284" s="280">
        <v>195</v>
      </c>
      <c r="L284" s="280">
        <v>146.5</v>
      </c>
      <c r="M284" s="281">
        <v>146.5</v>
      </c>
    </row>
    <row r="285" spans="1:13" ht="14.25">
      <c r="A285" s="274">
        <v>11210</v>
      </c>
      <c r="B285" s="275" t="s">
        <v>221</v>
      </c>
      <c r="C285" s="275" t="s">
        <v>245</v>
      </c>
      <c r="D285" s="275" t="s">
        <v>20</v>
      </c>
      <c r="E285" s="276">
        <v>1</v>
      </c>
      <c r="F285" s="276" t="s">
        <v>113</v>
      </c>
      <c r="G285" s="276">
        <v>0</v>
      </c>
      <c r="H285" s="276">
        <v>8</v>
      </c>
      <c r="I285" s="276">
        <v>0</v>
      </c>
      <c r="J285" s="276">
        <v>0</v>
      </c>
      <c r="K285" s="276">
        <v>8</v>
      </c>
      <c r="L285" s="276">
        <v>0</v>
      </c>
      <c r="M285" s="277">
        <v>0</v>
      </c>
    </row>
    <row r="286" spans="1:13" ht="14.25">
      <c r="A286" s="278">
        <v>11210</v>
      </c>
      <c r="B286" s="279" t="s">
        <v>221</v>
      </c>
      <c r="C286" s="279" t="s">
        <v>61</v>
      </c>
      <c r="D286" s="279" t="s">
        <v>62</v>
      </c>
      <c r="E286" s="280">
        <v>1</v>
      </c>
      <c r="F286" s="280" t="s">
        <v>116</v>
      </c>
      <c r="G286" s="280">
        <v>0</v>
      </c>
      <c r="H286" s="280">
        <v>0</v>
      </c>
      <c r="I286" s="280">
        <v>15</v>
      </c>
      <c r="J286" s="280">
        <v>0</v>
      </c>
      <c r="K286" s="280">
        <v>15</v>
      </c>
      <c r="L286" s="280">
        <v>15</v>
      </c>
      <c r="M286" s="281">
        <v>15</v>
      </c>
    </row>
    <row r="287" spans="1:13" ht="14.25">
      <c r="A287" s="274">
        <v>11210</v>
      </c>
      <c r="B287" s="275" t="s">
        <v>221</v>
      </c>
      <c r="C287" s="275" t="s">
        <v>61</v>
      </c>
      <c r="D287" s="275" t="s">
        <v>62</v>
      </c>
      <c r="E287" s="276">
        <v>1</v>
      </c>
      <c r="F287" s="276" t="s">
        <v>114</v>
      </c>
      <c r="G287" s="276">
        <v>0</v>
      </c>
      <c r="H287" s="276">
        <v>4</v>
      </c>
      <c r="I287" s="276">
        <v>12</v>
      </c>
      <c r="J287" s="276">
        <v>1</v>
      </c>
      <c r="K287" s="276">
        <v>17</v>
      </c>
      <c r="L287" s="276">
        <v>12.5</v>
      </c>
      <c r="M287" s="277">
        <v>12.5</v>
      </c>
    </row>
    <row r="288" spans="1:13" ht="14.25">
      <c r="A288" s="278">
        <v>11210</v>
      </c>
      <c r="B288" s="279" t="s">
        <v>221</v>
      </c>
      <c r="C288" s="279" t="s">
        <v>246</v>
      </c>
      <c r="D288" s="279" t="s">
        <v>224</v>
      </c>
      <c r="E288" s="280">
        <v>1</v>
      </c>
      <c r="F288" s="280" t="s">
        <v>114</v>
      </c>
      <c r="G288" s="280">
        <v>0</v>
      </c>
      <c r="H288" s="280">
        <v>1</v>
      </c>
      <c r="I288" s="280">
        <v>0</v>
      </c>
      <c r="J288" s="280">
        <v>0</v>
      </c>
      <c r="K288" s="280">
        <v>1</v>
      </c>
      <c r="L288" s="280">
        <v>0</v>
      </c>
      <c r="M288" s="281">
        <v>0</v>
      </c>
    </row>
    <row r="289" spans="1:13" ht="14.25">
      <c r="A289" s="274">
        <v>11210</v>
      </c>
      <c r="B289" s="275" t="s">
        <v>221</v>
      </c>
      <c r="C289" s="275" t="s">
        <v>247</v>
      </c>
      <c r="D289" s="275" t="s">
        <v>226</v>
      </c>
      <c r="E289" s="276">
        <v>1</v>
      </c>
      <c r="F289" s="276" t="s">
        <v>116</v>
      </c>
      <c r="G289" s="276">
        <v>0</v>
      </c>
      <c r="H289" s="276">
        <v>0</v>
      </c>
      <c r="I289" s="276">
        <v>24</v>
      </c>
      <c r="J289" s="276">
        <v>0</v>
      </c>
      <c r="K289" s="276">
        <v>24</v>
      </c>
      <c r="L289" s="276">
        <v>24</v>
      </c>
      <c r="M289" s="277">
        <v>24</v>
      </c>
    </row>
    <row r="290" spans="1:13" ht="14.25">
      <c r="A290" s="278">
        <v>11210</v>
      </c>
      <c r="B290" s="279" t="s">
        <v>221</v>
      </c>
      <c r="C290" s="279" t="s">
        <v>247</v>
      </c>
      <c r="D290" s="279" t="s">
        <v>226</v>
      </c>
      <c r="E290" s="280">
        <v>1</v>
      </c>
      <c r="F290" s="280" t="s">
        <v>114</v>
      </c>
      <c r="G290" s="280">
        <v>0</v>
      </c>
      <c r="H290" s="280">
        <v>4</v>
      </c>
      <c r="I290" s="280">
        <v>27</v>
      </c>
      <c r="J290" s="280">
        <v>0</v>
      </c>
      <c r="K290" s="280">
        <v>31</v>
      </c>
      <c r="L290" s="280">
        <v>27</v>
      </c>
      <c r="M290" s="281">
        <v>27</v>
      </c>
    </row>
    <row r="291" spans="1:13" ht="14.25">
      <c r="A291" s="274">
        <v>11210</v>
      </c>
      <c r="B291" s="275" t="s">
        <v>221</v>
      </c>
      <c r="C291" s="275" t="s">
        <v>49</v>
      </c>
      <c r="D291" s="275" t="s">
        <v>50</v>
      </c>
      <c r="E291" s="276">
        <v>1</v>
      </c>
      <c r="F291" s="276" t="s">
        <v>116</v>
      </c>
      <c r="G291" s="276">
        <v>0</v>
      </c>
      <c r="H291" s="276">
        <v>1</v>
      </c>
      <c r="I291" s="276">
        <v>12</v>
      </c>
      <c r="J291" s="276">
        <v>0</v>
      </c>
      <c r="K291" s="276">
        <v>13</v>
      </c>
      <c r="L291" s="276">
        <v>12</v>
      </c>
      <c r="M291" s="277">
        <v>12</v>
      </c>
    </row>
    <row r="292" spans="1:13" ht="14.25">
      <c r="A292" s="278">
        <v>11210</v>
      </c>
      <c r="B292" s="279" t="s">
        <v>221</v>
      </c>
      <c r="C292" s="279" t="s">
        <v>49</v>
      </c>
      <c r="D292" s="279" t="s">
        <v>50</v>
      </c>
      <c r="E292" s="280">
        <v>1</v>
      </c>
      <c r="F292" s="280" t="s">
        <v>114</v>
      </c>
      <c r="G292" s="280">
        <v>0</v>
      </c>
      <c r="H292" s="280">
        <v>7</v>
      </c>
      <c r="I292" s="280">
        <v>16</v>
      </c>
      <c r="J292" s="280">
        <v>0</v>
      </c>
      <c r="K292" s="280">
        <v>23</v>
      </c>
      <c r="L292" s="280">
        <v>16</v>
      </c>
      <c r="M292" s="281">
        <v>16</v>
      </c>
    </row>
    <row r="293" spans="1:13" ht="14.25">
      <c r="A293" s="274">
        <v>11210</v>
      </c>
      <c r="B293" s="275" t="s">
        <v>221</v>
      </c>
      <c r="C293" s="275" t="s">
        <v>53</v>
      </c>
      <c r="D293" s="275" t="s">
        <v>54</v>
      </c>
      <c r="E293" s="276">
        <v>1</v>
      </c>
      <c r="F293" s="276" t="s">
        <v>116</v>
      </c>
      <c r="G293" s="276">
        <v>0</v>
      </c>
      <c r="H293" s="276">
        <v>1</v>
      </c>
      <c r="I293" s="276">
        <v>12</v>
      </c>
      <c r="J293" s="276">
        <v>1</v>
      </c>
      <c r="K293" s="276">
        <v>14</v>
      </c>
      <c r="L293" s="276">
        <v>12.5</v>
      </c>
      <c r="M293" s="277">
        <v>12.5</v>
      </c>
    </row>
    <row r="294" spans="1:13" ht="14.25">
      <c r="A294" s="278">
        <v>11210</v>
      </c>
      <c r="B294" s="279" t="s">
        <v>221</v>
      </c>
      <c r="C294" s="279" t="s">
        <v>53</v>
      </c>
      <c r="D294" s="279" t="s">
        <v>54</v>
      </c>
      <c r="E294" s="280">
        <v>1</v>
      </c>
      <c r="F294" s="280" t="s">
        <v>114</v>
      </c>
      <c r="G294" s="280">
        <v>0</v>
      </c>
      <c r="H294" s="280">
        <v>1</v>
      </c>
      <c r="I294" s="280">
        <v>24</v>
      </c>
      <c r="J294" s="280">
        <v>0</v>
      </c>
      <c r="K294" s="280">
        <v>25</v>
      </c>
      <c r="L294" s="280">
        <v>24</v>
      </c>
      <c r="M294" s="281">
        <v>24</v>
      </c>
    </row>
    <row r="295" spans="1:13" ht="14.25">
      <c r="A295" s="274">
        <v>11210</v>
      </c>
      <c r="B295" s="275" t="s">
        <v>221</v>
      </c>
      <c r="C295" s="275" t="s">
        <v>248</v>
      </c>
      <c r="D295" s="275" t="s">
        <v>230</v>
      </c>
      <c r="E295" s="276">
        <v>1</v>
      </c>
      <c r="F295" s="276" t="s">
        <v>116</v>
      </c>
      <c r="G295" s="276">
        <v>0</v>
      </c>
      <c r="H295" s="276">
        <v>1</v>
      </c>
      <c r="I295" s="276">
        <v>28</v>
      </c>
      <c r="J295" s="276">
        <v>2</v>
      </c>
      <c r="K295" s="276">
        <v>31</v>
      </c>
      <c r="L295" s="276">
        <v>29</v>
      </c>
      <c r="M295" s="277">
        <v>29</v>
      </c>
    </row>
    <row r="296" spans="1:13" ht="14.25">
      <c r="A296" s="278">
        <v>11210</v>
      </c>
      <c r="B296" s="279" t="s">
        <v>221</v>
      </c>
      <c r="C296" s="279" t="s">
        <v>248</v>
      </c>
      <c r="D296" s="279" t="s">
        <v>230</v>
      </c>
      <c r="E296" s="280">
        <v>1</v>
      </c>
      <c r="F296" s="280" t="s">
        <v>114</v>
      </c>
      <c r="G296" s="280">
        <v>0</v>
      </c>
      <c r="H296" s="280">
        <v>4</v>
      </c>
      <c r="I296" s="280">
        <v>36</v>
      </c>
      <c r="J296" s="280">
        <v>0</v>
      </c>
      <c r="K296" s="280">
        <v>40</v>
      </c>
      <c r="L296" s="280">
        <v>36</v>
      </c>
      <c r="M296" s="281">
        <v>36</v>
      </c>
    </row>
    <row r="297" spans="1:13" ht="14.25">
      <c r="A297" s="274">
        <v>11210</v>
      </c>
      <c r="B297" s="275" t="s">
        <v>221</v>
      </c>
      <c r="C297" s="275" t="s">
        <v>38</v>
      </c>
      <c r="D297" s="275" t="s">
        <v>39</v>
      </c>
      <c r="E297" s="276">
        <v>1</v>
      </c>
      <c r="F297" s="276" t="s">
        <v>116</v>
      </c>
      <c r="G297" s="276">
        <v>0</v>
      </c>
      <c r="H297" s="276">
        <v>8</v>
      </c>
      <c r="I297" s="276">
        <v>76</v>
      </c>
      <c r="J297" s="276">
        <v>1</v>
      </c>
      <c r="K297" s="276">
        <v>85</v>
      </c>
      <c r="L297" s="276">
        <v>76.5</v>
      </c>
      <c r="M297" s="277">
        <v>76.5</v>
      </c>
    </row>
    <row r="298" spans="1:13" ht="14.25">
      <c r="A298" s="278">
        <v>11210</v>
      </c>
      <c r="B298" s="279" t="s">
        <v>221</v>
      </c>
      <c r="C298" s="279" t="s">
        <v>38</v>
      </c>
      <c r="D298" s="279" t="s">
        <v>39</v>
      </c>
      <c r="E298" s="280">
        <v>1</v>
      </c>
      <c r="F298" s="280" t="s">
        <v>114</v>
      </c>
      <c r="G298" s="280">
        <v>0</v>
      </c>
      <c r="H298" s="280">
        <v>59</v>
      </c>
      <c r="I298" s="280">
        <v>137</v>
      </c>
      <c r="J298" s="280">
        <v>2</v>
      </c>
      <c r="K298" s="280">
        <v>198</v>
      </c>
      <c r="L298" s="280">
        <v>138</v>
      </c>
      <c r="M298" s="281">
        <v>138</v>
      </c>
    </row>
    <row r="299" spans="1:13" ht="14.25">
      <c r="A299" s="274">
        <v>11210</v>
      </c>
      <c r="B299" s="275" t="s">
        <v>221</v>
      </c>
      <c r="C299" s="275" t="s">
        <v>249</v>
      </c>
      <c r="D299" s="275" t="s">
        <v>233</v>
      </c>
      <c r="E299" s="276">
        <v>1</v>
      </c>
      <c r="F299" s="276" t="s">
        <v>116</v>
      </c>
      <c r="G299" s="276">
        <v>0</v>
      </c>
      <c r="H299" s="276">
        <v>3</v>
      </c>
      <c r="I299" s="276">
        <v>44</v>
      </c>
      <c r="J299" s="276">
        <v>0</v>
      </c>
      <c r="K299" s="276">
        <v>47</v>
      </c>
      <c r="L299" s="276">
        <v>44</v>
      </c>
      <c r="M299" s="277">
        <v>44</v>
      </c>
    </row>
    <row r="300" spans="1:13" ht="14.25">
      <c r="A300" s="278">
        <v>11210</v>
      </c>
      <c r="B300" s="279" t="s">
        <v>221</v>
      </c>
      <c r="C300" s="279" t="s">
        <v>249</v>
      </c>
      <c r="D300" s="279" t="s">
        <v>233</v>
      </c>
      <c r="E300" s="280">
        <v>1</v>
      </c>
      <c r="F300" s="280" t="s">
        <v>114</v>
      </c>
      <c r="G300" s="280">
        <v>0</v>
      </c>
      <c r="H300" s="280">
        <v>31</v>
      </c>
      <c r="I300" s="280">
        <v>64</v>
      </c>
      <c r="J300" s="280">
        <v>2</v>
      </c>
      <c r="K300" s="280">
        <v>97</v>
      </c>
      <c r="L300" s="280">
        <v>65</v>
      </c>
      <c r="M300" s="281">
        <v>65</v>
      </c>
    </row>
    <row r="301" spans="1:13" ht="14.25">
      <c r="A301" s="274">
        <v>11210</v>
      </c>
      <c r="B301" s="275" t="s">
        <v>221</v>
      </c>
      <c r="C301" s="275" t="s">
        <v>40</v>
      </c>
      <c r="D301" s="275" t="s">
        <v>41</v>
      </c>
      <c r="E301" s="276">
        <v>1.2</v>
      </c>
      <c r="F301" s="276" t="s">
        <v>116</v>
      </c>
      <c r="G301" s="276">
        <v>0</v>
      </c>
      <c r="H301" s="276">
        <v>2</v>
      </c>
      <c r="I301" s="276">
        <v>162</v>
      </c>
      <c r="J301" s="276">
        <v>0</v>
      </c>
      <c r="K301" s="276">
        <v>164</v>
      </c>
      <c r="L301" s="276">
        <v>162</v>
      </c>
      <c r="M301" s="277">
        <v>194.4</v>
      </c>
    </row>
    <row r="302" spans="1:13" ht="14.25">
      <c r="A302" s="278">
        <v>11210</v>
      </c>
      <c r="B302" s="279" t="s">
        <v>221</v>
      </c>
      <c r="C302" s="279" t="s">
        <v>40</v>
      </c>
      <c r="D302" s="279" t="s">
        <v>41</v>
      </c>
      <c r="E302" s="280">
        <v>1.2</v>
      </c>
      <c r="F302" s="280" t="s">
        <v>114</v>
      </c>
      <c r="G302" s="280">
        <v>0</v>
      </c>
      <c r="H302" s="280">
        <v>63</v>
      </c>
      <c r="I302" s="280">
        <v>250</v>
      </c>
      <c r="J302" s="280">
        <v>1</v>
      </c>
      <c r="K302" s="280">
        <v>314</v>
      </c>
      <c r="L302" s="280">
        <v>250.5</v>
      </c>
      <c r="M302" s="281">
        <v>300.6</v>
      </c>
    </row>
    <row r="303" spans="1:13" ht="14.25">
      <c r="A303" s="274">
        <v>11210</v>
      </c>
      <c r="B303" s="275" t="s">
        <v>221</v>
      </c>
      <c r="C303" s="275" t="s">
        <v>250</v>
      </c>
      <c r="D303" s="275" t="s">
        <v>238</v>
      </c>
      <c r="E303" s="276">
        <v>1.2</v>
      </c>
      <c r="F303" s="276" t="s">
        <v>114</v>
      </c>
      <c r="G303" s="276">
        <v>0</v>
      </c>
      <c r="H303" s="276">
        <v>0</v>
      </c>
      <c r="I303" s="276">
        <v>3</v>
      </c>
      <c r="J303" s="276">
        <v>0</v>
      </c>
      <c r="K303" s="276">
        <v>3</v>
      </c>
      <c r="L303" s="276">
        <v>3</v>
      </c>
      <c r="M303" s="277">
        <v>3.6</v>
      </c>
    </row>
    <row r="304" spans="1:13" ht="14.25">
      <c r="A304" s="278">
        <v>11210</v>
      </c>
      <c r="B304" s="279" t="s">
        <v>221</v>
      </c>
      <c r="C304" s="279" t="s">
        <v>251</v>
      </c>
      <c r="D304" s="279" t="s">
        <v>240</v>
      </c>
      <c r="E304" s="280">
        <v>1.2</v>
      </c>
      <c r="F304" s="280" t="s">
        <v>116</v>
      </c>
      <c r="G304" s="280">
        <v>0</v>
      </c>
      <c r="H304" s="280">
        <v>1</v>
      </c>
      <c r="I304" s="280">
        <v>24</v>
      </c>
      <c r="J304" s="280">
        <v>0</v>
      </c>
      <c r="K304" s="280">
        <v>25</v>
      </c>
      <c r="L304" s="280">
        <v>24</v>
      </c>
      <c r="M304" s="281">
        <v>28.8</v>
      </c>
    </row>
    <row r="305" spans="1:13" ht="14.25">
      <c r="A305" s="274">
        <v>11210</v>
      </c>
      <c r="B305" s="275" t="s">
        <v>221</v>
      </c>
      <c r="C305" s="275" t="s">
        <v>251</v>
      </c>
      <c r="D305" s="275" t="s">
        <v>240</v>
      </c>
      <c r="E305" s="276">
        <v>1.2</v>
      </c>
      <c r="F305" s="276" t="s">
        <v>114</v>
      </c>
      <c r="G305" s="276">
        <v>0</v>
      </c>
      <c r="H305" s="276">
        <v>6</v>
      </c>
      <c r="I305" s="276">
        <v>46</v>
      </c>
      <c r="J305" s="276">
        <v>0</v>
      </c>
      <c r="K305" s="276">
        <v>52</v>
      </c>
      <c r="L305" s="276">
        <v>46</v>
      </c>
      <c r="M305" s="277">
        <v>55.2</v>
      </c>
    </row>
    <row r="306" spans="1:13" ht="14.25">
      <c r="A306" s="278">
        <v>11210</v>
      </c>
      <c r="B306" s="279" t="s">
        <v>221</v>
      </c>
      <c r="C306" s="279" t="s">
        <v>115</v>
      </c>
      <c r="D306" s="279" t="s">
        <v>93</v>
      </c>
      <c r="E306" s="280">
        <v>1</v>
      </c>
      <c r="F306" s="280" t="s">
        <v>116</v>
      </c>
      <c r="G306" s="280">
        <v>0</v>
      </c>
      <c r="H306" s="280">
        <v>0</v>
      </c>
      <c r="I306" s="280">
        <v>51</v>
      </c>
      <c r="J306" s="280">
        <v>1</v>
      </c>
      <c r="K306" s="280">
        <v>52</v>
      </c>
      <c r="L306" s="280">
        <v>51.5</v>
      </c>
      <c r="M306" s="281">
        <v>51.5</v>
      </c>
    </row>
    <row r="307" spans="1:13" ht="14.25">
      <c r="A307" s="274">
        <v>11210</v>
      </c>
      <c r="B307" s="275" t="s">
        <v>221</v>
      </c>
      <c r="C307" s="275" t="s">
        <v>115</v>
      </c>
      <c r="D307" s="275" t="s">
        <v>93</v>
      </c>
      <c r="E307" s="276">
        <v>1</v>
      </c>
      <c r="F307" s="276" t="s">
        <v>114</v>
      </c>
      <c r="G307" s="276">
        <v>0</v>
      </c>
      <c r="H307" s="276">
        <v>18</v>
      </c>
      <c r="I307" s="276">
        <v>69</v>
      </c>
      <c r="J307" s="276">
        <v>2</v>
      </c>
      <c r="K307" s="276">
        <v>89</v>
      </c>
      <c r="L307" s="276">
        <v>70</v>
      </c>
      <c r="M307" s="277">
        <v>70</v>
      </c>
    </row>
    <row r="308" spans="1:13" ht="14.25">
      <c r="A308" s="278">
        <v>11210</v>
      </c>
      <c r="B308" s="279" t="s">
        <v>221</v>
      </c>
      <c r="C308" s="279" t="s">
        <v>90</v>
      </c>
      <c r="D308" s="279" t="s">
        <v>91</v>
      </c>
      <c r="E308" s="280">
        <v>1.2</v>
      </c>
      <c r="F308" s="280" t="s">
        <v>116</v>
      </c>
      <c r="G308" s="280">
        <v>0</v>
      </c>
      <c r="H308" s="280">
        <v>0</v>
      </c>
      <c r="I308" s="280">
        <v>28</v>
      </c>
      <c r="J308" s="280">
        <v>1</v>
      </c>
      <c r="K308" s="280">
        <v>29</v>
      </c>
      <c r="L308" s="280">
        <v>28.5</v>
      </c>
      <c r="M308" s="281">
        <v>34.2</v>
      </c>
    </row>
    <row r="309" spans="1:13" ht="14.25">
      <c r="A309" s="274">
        <v>11210</v>
      </c>
      <c r="B309" s="275" t="s">
        <v>221</v>
      </c>
      <c r="C309" s="275" t="s">
        <v>90</v>
      </c>
      <c r="D309" s="275" t="s">
        <v>91</v>
      </c>
      <c r="E309" s="276">
        <v>1.2</v>
      </c>
      <c r="F309" s="276" t="s">
        <v>114</v>
      </c>
      <c r="G309" s="276">
        <v>0</v>
      </c>
      <c r="H309" s="276">
        <v>7</v>
      </c>
      <c r="I309" s="276">
        <v>45</v>
      </c>
      <c r="J309" s="276">
        <v>1</v>
      </c>
      <c r="K309" s="276">
        <v>53</v>
      </c>
      <c r="L309" s="276">
        <v>45.5</v>
      </c>
      <c r="M309" s="277">
        <v>54.6</v>
      </c>
    </row>
    <row r="310" spans="1:13" ht="14.25">
      <c r="A310" s="278">
        <v>11210</v>
      </c>
      <c r="B310" s="279" t="s">
        <v>221</v>
      </c>
      <c r="C310" s="279" t="s">
        <v>252</v>
      </c>
      <c r="D310" s="279" t="s">
        <v>20</v>
      </c>
      <c r="E310" s="280">
        <v>1</v>
      </c>
      <c r="F310" s="280" t="s">
        <v>116</v>
      </c>
      <c r="G310" s="280">
        <v>0</v>
      </c>
      <c r="H310" s="280">
        <v>1</v>
      </c>
      <c r="I310" s="280">
        <v>55</v>
      </c>
      <c r="J310" s="280">
        <v>0</v>
      </c>
      <c r="K310" s="280">
        <v>56</v>
      </c>
      <c r="L310" s="280">
        <v>55</v>
      </c>
      <c r="M310" s="281">
        <v>55</v>
      </c>
    </row>
    <row r="311" spans="1:13" ht="14.25">
      <c r="A311" s="274">
        <v>11210</v>
      </c>
      <c r="B311" s="275" t="s">
        <v>221</v>
      </c>
      <c r="C311" s="275" t="s">
        <v>252</v>
      </c>
      <c r="D311" s="275" t="s">
        <v>20</v>
      </c>
      <c r="E311" s="276">
        <v>1</v>
      </c>
      <c r="F311" s="276" t="s">
        <v>114</v>
      </c>
      <c r="G311" s="276">
        <v>0</v>
      </c>
      <c r="H311" s="276">
        <v>14</v>
      </c>
      <c r="I311" s="276">
        <v>92</v>
      </c>
      <c r="J311" s="276">
        <v>0</v>
      </c>
      <c r="K311" s="276">
        <v>106</v>
      </c>
      <c r="L311" s="276">
        <v>92</v>
      </c>
      <c r="M311" s="277">
        <v>92</v>
      </c>
    </row>
    <row r="312" spans="1:13" ht="14.25">
      <c r="A312" s="278">
        <v>11210</v>
      </c>
      <c r="B312" s="279" t="s">
        <v>221</v>
      </c>
      <c r="C312" s="279" t="s">
        <v>253</v>
      </c>
      <c r="D312" s="279" t="s">
        <v>244</v>
      </c>
      <c r="E312" s="280">
        <v>1</v>
      </c>
      <c r="F312" s="280" t="s">
        <v>116</v>
      </c>
      <c r="G312" s="280">
        <v>0</v>
      </c>
      <c r="H312" s="280">
        <v>1</v>
      </c>
      <c r="I312" s="280">
        <v>27</v>
      </c>
      <c r="J312" s="280">
        <v>0</v>
      </c>
      <c r="K312" s="280">
        <v>28</v>
      </c>
      <c r="L312" s="280">
        <v>27</v>
      </c>
      <c r="M312" s="281">
        <v>27</v>
      </c>
    </row>
    <row r="313" spans="1:13" ht="14.25">
      <c r="A313" s="274">
        <v>11210</v>
      </c>
      <c r="B313" s="275" t="s">
        <v>221</v>
      </c>
      <c r="C313" s="275" t="s">
        <v>253</v>
      </c>
      <c r="D313" s="275" t="s">
        <v>244</v>
      </c>
      <c r="E313" s="276">
        <v>1</v>
      </c>
      <c r="F313" s="276" t="s">
        <v>114</v>
      </c>
      <c r="G313" s="276">
        <v>0</v>
      </c>
      <c r="H313" s="276">
        <v>21</v>
      </c>
      <c r="I313" s="276">
        <v>45</v>
      </c>
      <c r="J313" s="276">
        <v>0</v>
      </c>
      <c r="K313" s="276">
        <v>66</v>
      </c>
      <c r="L313" s="276">
        <v>45</v>
      </c>
      <c r="M313" s="277">
        <v>45</v>
      </c>
    </row>
    <row r="314" spans="1:13" ht="14.25">
      <c r="A314" s="278">
        <v>11210</v>
      </c>
      <c r="B314" s="279" t="s">
        <v>221</v>
      </c>
      <c r="C314" s="279" t="s">
        <v>66</v>
      </c>
      <c r="D314" s="279" t="s">
        <v>62</v>
      </c>
      <c r="E314" s="280">
        <v>1</v>
      </c>
      <c r="F314" s="280" t="s">
        <v>119</v>
      </c>
      <c r="G314" s="280">
        <v>0</v>
      </c>
      <c r="H314" s="280">
        <v>1</v>
      </c>
      <c r="I314" s="280">
        <v>8</v>
      </c>
      <c r="J314" s="280">
        <v>0</v>
      </c>
      <c r="K314" s="280">
        <v>9</v>
      </c>
      <c r="L314" s="280">
        <v>8</v>
      </c>
      <c r="M314" s="281">
        <v>8</v>
      </c>
    </row>
    <row r="315" spans="1:13" ht="14.25">
      <c r="A315" s="274">
        <v>11210</v>
      </c>
      <c r="B315" s="275" t="s">
        <v>221</v>
      </c>
      <c r="C315" s="275" t="s">
        <v>66</v>
      </c>
      <c r="D315" s="275" t="s">
        <v>62</v>
      </c>
      <c r="E315" s="276">
        <v>1</v>
      </c>
      <c r="F315" s="276" t="s">
        <v>122</v>
      </c>
      <c r="G315" s="276">
        <v>0</v>
      </c>
      <c r="H315" s="276">
        <v>13</v>
      </c>
      <c r="I315" s="276">
        <v>16</v>
      </c>
      <c r="J315" s="276">
        <v>1</v>
      </c>
      <c r="K315" s="276">
        <v>30</v>
      </c>
      <c r="L315" s="276">
        <v>16.5</v>
      </c>
      <c r="M315" s="277">
        <v>16.5</v>
      </c>
    </row>
    <row r="316" spans="1:13" ht="14.25">
      <c r="A316" s="278">
        <v>11210</v>
      </c>
      <c r="B316" s="279" t="s">
        <v>221</v>
      </c>
      <c r="C316" s="279" t="s">
        <v>254</v>
      </c>
      <c r="D316" s="279" t="s">
        <v>224</v>
      </c>
      <c r="E316" s="280">
        <v>1</v>
      </c>
      <c r="F316" s="280" t="s">
        <v>119</v>
      </c>
      <c r="G316" s="280">
        <v>0</v>
      </c>
      <c r="H316" s="280">
        <v>0</v>
      </c>
      <c r="I316" s="280">
        <v>1</v>
      </c>
      <c r="J316" s="280">
        <v>0</v>
      </c>
      <c r="K316" s="280">
        <v>1</v>
      </c>
      <c r="L316" s="280">
        <v>1</v>
      </c>
      <c r="M316" s="281">
        <v>1</v>
      </c>
    </row>
    <row r="317" spans="1:13" ht="14.25">
      <c r="A317" s="274">
        <v>11210</v>
      </c>
      <c r="B317" s="275" t="s">
        <v>221</v>
      </c>
      <c r="C317" s="275" t="s">
        <v>254</v>
      </c>
      <c r="D317" s="275" t="s">
        <v>224</v>
      </c>
      <c r="E317" s="276">
        <v>1</v>
      </c>
      <c r="F317" s="276" t="s">
        <v>122</v>
      </c>
      <c r="G317" s="276">
        <v>0</v>
      </c>
      <c r="H317" s="276">
        <v>5</v>
      </c>
      <c r="I317" s="276">
        <v>3</v>
      </c>
      <c r="J317" s="276">
        <v>0</v>
      </c>
      <c r="K317" s="276">
        <v>8</v>
      </c>
      <c r="L317" s="276">
        <v>3</v>
      </c>
      <c r="M317" s="277">
        <v>3</v>
      </c>
    </row>
    <row r="318" spans="1:13" ht="14.25">
      <c r="A318" s="278">
        <v>11210</v>
      </c>
      <c r="B318" s="279" t="s">
        <v>221</v>
      </c>
      <c r="C318" s="279" t="s">
        <v>56</v>
      </c>
      <c r="D318" s="279" t="s">
        <v>50</v>
      </c>
      <c r="E318" s="280">
        <v>1</v>
      </c>
      <c r="F318" s="280" t="s">
        <v>119</v>
      </c>
      <c r="G318" s="280">
        <v>0</v>
      </c>
      <c r="H318" s="280">
        <v>0</v>
      </c>
      <c r="I318" s="280">
        <v>1</v>
      </c>
      <c r="J318" s="280">
        <v>0</v>
      </c>
      <c r="K318" s="280">
        <v>1</v>
      </c>
      <c r="L318" s="280">
        <v>1</v>
      </c>
      <c r="M318" s="281">
        <v>1</v>
      </c>
    </row>
    <row r="319" spans="1:13" ht="14.25">
      <c r="A319" s="274">
        <v>11210</v>
      </c>
      <c r="B319" s="275" t="s">
        <v>221</v>
      </c>
      <c r="C319" s="275" t="s">
        <v>56</v>
      </c>
      <c r="D319" s="275" t="s">
        <v>50</v>
      </c>
      <c r="E319" s="276">
        <v>1</v>
      </c>
      <c r="F319" s="276" t="s">
        <v>122</v>
      </c>
      <c r="G319" s="276">
        <v>0</v>
      </c>
      <c r="H319" s="276">
        <v>13</v>
      </c>
      <c r="I319" s="276">
        <v>12</v>
      </c>
      <c r="J319" s="276">
        <v>0</v>
      </c>
      <c r="K319" s="276">
        <v>25</v>
      </c>
      <c r="L319" s="276">
        <v>12</v>
      </c>
      <c r="M319" s="277">
        <v>12</v>
      </c>
    </row>
    <row r="320" spans="1:13" ht="14.25">
      <c r="A320" s="278">
        <v>11210</v>
      </c>
      <c r="B320" s="279" t="s">
        <v>221</v>
      </c>
      <c r="C320" s="279" t="s">
        <v>57</v>
      </c>
      <c r="D320" s="279" t="s">
        <v>54</v>
      </c>
      <c r="E320" s="280">
        <v>1</v>
      </c>
      <c r="F320" s="280" t="s">
        <v>119</v>
      </c>
      <c r="G320" s="280">
        <v>0</v>
      </c>
      <c r="H320" s="280">
        <v>1</v>
      </c>
      <c r="I320" s="280">
        <v>4</v>
      </c>
      <c r="J320" s="280">
        <v>0</v>
      </c>
      <c r="K320" s="280">
        <v>5</v>
      </c>
      <c r="L320" s="280">
        <v>4</v>
      </c>
      <c r="M320" s="281">
        <v>4</v>
      </c>
    </row>
    <row r="321" spans="1:13" ht="14.25">
      <c r="A321" s="274">
        <v>11210</v>
      </c>
      <c r="B321" s="275" t="s">
        <v>221</v>
      </c>
      <c r="C321" s="275" t="s">
        <v>57</v>
      </c>
      <c r="D321" s="275" t="s">
        <v>54</v>
      </c>
      <c r="E321" s="276">
        <v>1</v>
      </c>
      <c r="F321" s="276" t="s">
        <v>122</v>
      </c>
      <c r="G321" s="276">
        <v>0</v>
      </c>
      <c r="H321" s="276">
        <v>15</v>
      </c>
      <c r="I321" s="276">
        <v>19</v>
      </c>
      <c r="J321" s="276">
        <v>0</v>
      </c>
      <c r="K321" s="276">
        <v>34</v>
      </c>
      <c r="L321" s="276">
        <v>19</v>
      </c>
      <c r="M321" s="277">
        <v>19</v>
      </c>
    </row>
    <row r="322" spans="1:13" ht="14.25">
      <c r="A322" s="278">
        <v>11210</v>
      </c>
      <c r="B322" s="279" t="s">
        <v>221</v>
      </c>
      <c r="C322" s="279" t="s">
        <v>586</v>
      </c>
      <c r="D322" s="279" t="s">
        <v>230</v>
      </c>
      <c r="E322" s="280">
        <v>1</v>
      </c>
      <c r="F322" s="280" t="s">
        <v>119</v>
      </c>
      <c r="G322" s="280">
        <v>0</v>
      </c>
      <c r="H322" s="280">
        <v>1</v>
      </c>
      <c r="I322" s="280">
        <v>3</v>
      </c>
      <c r="J322" s="280">
        <v>0</v>
      </c>
      <c r="K322" s="280">
        <v>4</v>
      </c>
      <c r="L322" s="280">
        <v>3</v>
      </c>
      <c r="M322" s="281">
        <v>3</v>
      </c>
    </row>
    <row r="323" spans="1:13" ht="14.25">
      <c r="A323" s="274">
        <v>11210</v>
      </c>
      <c r="B323" s="275" t="s">
        <v>221</v>
      </c>
      <c r="C323" s="275" t="s">
        <v>255</v>
      </c>
      <c r="D323" s="275" t="s">
        <v>39</v>
      </c>
      <c r="E323" s="276">
        <v>1</v>
      </c>
      <c r="F323" s="276" t="s">
        <v>119</v>
      </c>
      <c r="G323" s="276">
        <v>0</v>
      </c>
      <c r="H323" s="276">
        <v>3</v>
      </c>
      <c r="I323" s="276">
        <v>53</v>
      </c>
      <c r="J323" s="276">
        <v>1</v>
      </c>
      <c r="K323" s="276">
        <v>57</v>
      </c>
      <c r="L323" s="276">
        <v>53.5</v>
      </c>
      <c r="M323" s="277">
        <v>53.5</v>
      </c>
    </row>
    <row r="324" spans="1:13" ht="14.25">
      <c r="A324" s="278">
        <v>11210</v>
      </c>
      <c r="B324" s="279" t="s">
        <v>221</v>
      </c>
      <c r="C324" s="279" t="s">
        <v>255</v>
      </c>
      <c r="D324" s="279" t="s">
        <v>39</v>
      </c>
      <c r="E324" s="280">
        <v>1</v>
      </c>
      <c r="F324" s="280" t="s">
        <v>122</v>
      </c>
      <c r="G324" s="280">
        <v>0</v>
      </c>
      <c r="H324" s="280">
        <v>169</v>
      </c>
      <c r="I324" s="280">
        <v>141</v>
      </c>
      <c r="J324" s="280">
        <v>5</v>
      </c>
      <c r="K324" s="280">
        <v>315</v>
      </c>
      <c r="L324" s="280">
        <v>143.5</v>
      </c>
      <c r="M324" s="281">
        <v>143.5</v>
      </c>
    </row>
    <row r="325" spans="1:13" ht="14.25">
      <c r="A325" s="274">
        <v>11210</v>
      </c>
      <c r="B325" s="275" t="s">
        <v>221</v>
      </c>
      <c r="C325" s="275" t="s">
        <v>256</v>
      </c>
      <c r="D325" s="275" t="s">
        <v>233</v>
      </c>
      <c r="E325" s="276">
        <v>1</v>
      </c>
      <c r="F325" s="276" t="s">
        <v>119</v>
      </c>
      <c r="G325" s="276">
        <v>0</v>
      </c>
      <c r="H325" s="276">
        <v>0</v>
      </c>
      <c r="I325" s="276">
        <v>2</v>
      </c>
      <c r="J325" s="276">
        <v>0</v>
      </c>
      <c r="K325" s="276">
        <v>2</v>
      </c>
      <c r="L325" s="276">
        <v>2</v>
      </c>
      <c r="M325" s="277">
        <v>2</v>
      </c>
    </row>
    <row r="326" spans="1:13" ht="14.25">
      <c r="A326" s="278">
        <v>11210</v>
      </c>
      <c r="B326" s="279" t="s">
        <v>221</v>
      </c>
      <c r="C326" s="279" t="s">
        <v>256</v>
      </c>
      <c r="D326" s="279" t="s">
        <v>233</v>
      </c>
      <c r="E326" s="280">
        <v>1</v>
      </c>
      <c r="F326" s="280" t="s">
        <v>122</v>
      </c>
      <c r="G326" s="280">
        <v>0</v>
      </c>
      <c r="H326" s="280">
        <v>17</v>
      </c>
      <c r="I326" s="280">
        <v>12</v>
      </c>
      <c r="J326" s="280">
        <v>0</v>
      </c>
      <c r="K326" s="280">
        <v>29</v>
      </c>
      <c r="L326" s="280">
        <v>12</v>
      </c>
      <c r="M326" s="281">
        <v>12</v>
      </c>
    </row>
    <row r="327" spans="1:13" ht="14.25">
      <c r="A327" s="274">
        <v>11210</v>
      </c>
      <c r="B327" s="275" t="s">
        <v>221</v>
      </c>
      <c r="C327" s="275" t="s">
        <v>257</v>
      </c>
      <c r="D327" s="275" t="s">
        <v>41</v>
      </c>
      <c r="E327" s="276">
        <v>1.2</v>
      </c>
      <c r="F327" s="276" t="s">
        <v>119</v>
      </c>
      <c r="G327" s="276">
        <v>0</v>
      </c>
      <c r="H327" s="276">
        <v>2</v>
      </c>
      <c r="I327" s="276">
        <v>70</v>
      </c>
      <c r="J327" s="276">
        <v>0</v>
      </c>
      <c r="K327" s="276">
        <v>72</v>
      </c>
      <c r="L327" s="276">
        <v>70</v>
      </c>
      <c r="M327" s="277">
        <v>84</v>
      </c>
    </row>
    <row r="328" spans="1:13" ht="14.25">
      <c r="A328" s="278">
        <v>11210</v>
      </c>
      <c r="B328" s="279" t="s">
        <v>221</v>
      </c>
      <c r="C328" s="279" t="s">
        <v>257</v>
      </c>
      <c r="D328" s="279" t="s">
        <v>41</v>
      </c>
      <c r="E328" s="280">
        <v>1.2</v>
      </c>
      <c r="F328" s="280" t="s">
        <v>122</v>
      </c>
      <c r="G328" s="280">
        <v>0</v>
      </c>
      <c r="H328" s="280">
        <v>164</v>
      </c>
      <c r="I328" s="280">
        <v>135</v>
      </c>
      <c r="J328" s="280">
        <v>3</v>
      </c>
      <c r="K328" s="280">
        <v>302</v>
      </c>
      <c r="L328" s="280">
        <v>136.5</v>
      </c>
      <c r="M328" s="281">
        <v>163.8</v>
      </c>
    </row>
    <row r="329" spans="1:13" ht="14.25">
      <c r="A329" s="274">
        <v>11210</v>
      </c>
      <c r="B329" s="275" t="s">
        <v>221</v>
      </c>
      <c r="C329" s="275" t="s">
        <v>92</v>
      </c>
      <c r="D329" s="275" t="s">
        <v>93</v>
      </c>
      <c r="E329" s="276">
        <v>1</v>
      </c>
      <c r="F329" s="276" t="s">
        <v>119</v>
      </c>
      <c r="G329" s="276">
        <v>0</v>
      </c>
      <c r="H329" s="276">
        <v>0</v>
      </c>
      <c r="I329" s="276">
        <v>2</v>
      </c>
      <c r="J329" s="276">
        <v>0</v>
      </c>
      <c r="K329" s="276">
        <v>2</v>
      </c>
      <c r="L329" s="276">
        <v>2</v>
      </c>
      <c r="M329" s="277">
        <v>2</v>
      </c>
    </row>
    <row r="330" spans="1:13" ht="14.25">
      <c r="A330" s="278">
        <v>11210</v>
      </c>
      <c r="B330" s="279" t="s">
        <v>221</v>
      </c>
      <c r="C330" s="279" t="s">
        <v>92</v>
      </c>
      <c r="D330" s="279" t="s">
        <v>93</v>
      </c>
      <c r="E330" s="280">
        <v>1</v>
      </c>
      <c r="F330" s="280" t="s">
        <v>122</v>
      </c>
      <c r="G330" s="280">
        <v>0</v>
      </c>
      <c r="H330" s="280">
        <v>10</v>
      </c>
      <c r="I330" s="280">
        <v>9</v>
      </c>
      <c r="J330" s="280">
        <v>0</v>
      </c>
      <c r="K330" s="280">
        <v>19</v>
      </c>
      <c r="L330" s="280">
        <v>9</v>
      </c>
      <c r="M330" s="281">
        <v>9</v>
      </c>
    </row>
    <row r="331" spans="1:13" ht="14.25">
      <c r="A331" s="274">
        <v>11210</v>
      </c>
      <c r="B331" s="275" t="s">
        <v>221</v>
      </c>
      <c r="C331" s="275" t="s">
        <v>19</v>
      </c>
      <c r="D331" s="275" t="s">
        <v>20</v>
      </c>
      <c r="E331" s="276">
        <v>1</v>
      </c>
      <c r="F331" s="276" t="s">
        <v>119</v>
      </c>
      <c r="G331" s="276">
        <v>0</v>
      </c>
      <c r="H331" s="276">
        <v>2</v>
      </c>
      <c r="I331" s="276">
        <v>12</v>
      </c>
      <c r="J331" s="276">
        <v>0</v>
      </c>
      <c r="K331" s="276">
        <v>14</v>
      </c>
      <c r="L331" s="276">
        <v>12</v>
      </c>
      <c r="M331" s="277">
        <v>12</v>
      </c>
    </row>
    <row r="332" spans="1:13" ht="14.25">
      <c r="A332" s="278">
        <v>11210</v>
      </c>
      <c r="B332" s="279" t="s">
        <v>221</v>
      </c>
      <c r="C332" s="279" t="s">
        <v>19</v>
      </c>
      <c r="D332" s="279" t="s">
        <v>20</v>
      </c>
      <c r="E332" s="280">
        <v>1</v>
      </c>
      <c r="F332" s="280" t="s">
        <v>122</v>
      </c>
      <c r="G332" s="280">
        <v>0</v>
      </c>
      <c r="H332" s="280">
        <v>18</v>
      </c>
      <c r="I332" s="280">
        <v>31</v>
      </c>
      <c r="J332" s="280">
        <v>2</v>
      </c>
      <c r="K332" s="280">
        <v>51</v>
      </c>
      <c r="L332" s="280">
        <v>32</v>
      </c>
      <c r="M332" s="281">
        <v>32</v>
      </c>
    </row>
    <row r="333" spans="1:13" ht="14.25">
      <c r="A333" s="274">
        <v>11210</v>
      </c>
      <c r="B333" s="275" t="s">
        <v>221</v>
      </c>
      <c r="C333" s="275" t="s">
        <v>258</v>
      </c>
      <c r="D333" s="275" t="s">
        <v>244</v>
      </c>
      <c r="E333" s="276">
        <v>1</v>
      </c>
      <c r="F333" s="276" t="s">
        <v>119</v>
      </c>
      <c r="G333" s="276">
        <v>0</v>
      </c>
      <c r="H333" s="276">
        <v>2</v>
      </c>
      <c r="I333" s="276">
        <v>20</v>
      </c>
      <c r="J333" s="276">
        <v>0</v>
      </c>
      <c r="K333" s="276">
        <v>22</v>
      </c>
      <c r="L333" s="276">
        <v>20</v>
      </c>
      <c r="M333" s="277">
        <v>20</v>
      </c>
    </row>
    <row r="334" spans="1:13" ht="14.25">
      <c r="A334" s="278">
        <v>11210</v>
      </c>
      <c r="B334" s="279" t="s">
        <v>221</v>
      </c>
      <c r="C334" s="279" t="s">
        <v>258</v>
      </c>
      <c r="D334" s="279" t="s">
        <v>244</v>
      </c>
      <c r="E334" s="280">
        <v>1</v>
      </c>
      <c r="F334" s="280" t="s">
        <v>122</v>
      </c>
      <c r="G334" s="280">
        <v>0</v>
      </c>
      <c r="H334" s="280">
        <v>79</v>
      </c>
      <c r="I334" s="280">
        <v>42</v>
      </c>
      <c r="J334" s="280">
        <v>3</v>
      </c>
      <c r="K334" s="280">
        <v>124</v>
      </c>
      <c r="L334" s="280">
        <v>43.5</v>
      </c>
      <c r="M334" s="281">
        <v>43.5</v>
      </c>
    </row>
    <row r="335" spans="1:13" ht="9.75">
      <c r="A335" s="282">
        <v>11210</v>
      </c>
      <c r="B335" s="283" t="s">
        <v>163</v>
      </c>
      <c r="C335" s="283"/>
      <c r="D335" s="283"/>
      <c r="E335" s="283"/>
      <c r="F335" s="284" t="s">
        <v>132</v>
      </c>
      <c r="G335" s="284">
        <v>600</v>
      </c>
      <c r="H335" s="284">
        <v>70</v>
      </c>
      <c r="I335" s="284">
        <v>375</v>
      </c>
      <c r="J335" s="284">
        <v>7</v>
      </c>
      <c r="K335" s="284">
        <v>1052</v>
      </c>
      <c r="L335" s="545"/>
      <c r="M335" s="546"/>
    </row>
    <row r="336" spans="1:13" ht="9.75">
      <c r="A336" s="282">
        <v>11210</v>
      </c>
      <c r="B336" s="283" t="s">
        <v>163</v>
      </c>
      <c r="C336" s="283"/>
      <c r="D336" s="283"/>
      <c r="E336" s="283"/>
      <c r="F336" s="284" t="s">
        <v>109</v>
      </c>
      <c r="G336" s="284">
        <v>0</v>
      </c>
      <c r="H336" s="284">
        <v>493</v>
      </c>
      <c r="I336" s="284">
        <v>1681</v>
      </c>
      <c r="J336" s="284">
        <v>29</v>
      </c>
      <c r="K336" s="284">
        <v>2203</v>
      </c>
      <c r="L336" s="545"/>
      <c r="M336" s="546"/>
    </row>
    <row r="337" spans="1:13" ht="9.75">
      <c r="A337" s="282">
        <v>11210</v>
      </c>
      <c r="B337" s="283" t="s">
        <v>163</v>
      </c>
      <c r="C337" s="283"/>
      <c r="D337" s="283"/>
      <c r="E337" s="283"/>
      <c r="F337" s="284" t="s">
        <v>110</v>
      </c>
      <c r="G337" s="284">
        <v>0</v>
      </c>
      <c r="H337" s="284">
        <v>0</v>
      </c>
      <c r="I337" s="284">
        <v>0</v>
      </c>
      <c r="J337" s="284">
        <v>0</v>
      </c>
      <c r="K337" s="284">
        <v>0</v>
      </c>
      <c r="L337" s="545"/>
      <c r="M337" s="546"/>
    </row>
    <row r="338" spans="1:13" ht="9.75">
      <c r="A338" s="282">
        <v>11210</v>
      </c>
      <c r="B338" s="283" t="s">
        <v>163</v>
      </c>
      <c r="C338" s="283"/>
      <c r="D338" s="283"/>
      <c r="E338" s="283"/>
      <c r="F338" s="284" t="s">
        <v>113</v>
      </c>
      <c r="G338" s="284">
        <v>0</v>
      </c>
      <c r="H338" s="284">
        <v>8</v>
      </c>
      <c r="I338" s="284">
        <v>0</v>
      </c>
      <c r="J338" s="284">
        <v>0</v>
      </c>
      <c r="K338" s="284">
        <v>8</v>
      </c>
      <c r="L338" s="545"/>
      <c r="M338" s="546"/>
    </row>
    <row r="339" spans="1:13" ht="9.75">
      <c r="A339" s="282">
        <v>11210</v>
      </c>
      <c r="B339" s="283" t="s">
        <v>163</v>
      </c>
      <c r="C339" s="283"/>
      <c r="D339" s="283"/>
      <c r="E339" s="283"/>
      <c r="F339" s="284" t="s">
        <v>116</v>
      </c>
      <c r="G339" s="284">
        <v>0</v>
      </c>
      <c r="H339" s="284">
        <v>19</v>
      </c>
      <c r="I339" s="284">
        <v>558</v>
      </c>
      <c r="J339" s="284">
        <v>6</v>
      </c>
      <c r="K339" s="284">
        <v>583</v>
      </c>
      <c r="L339" s="545"/>
      <c r="M339" s="546"/>
    </row>
    <row r="340" spans="1:13" ht="9.75">
      <c r="A340" s="282">
        <v>11210</v>
      </c>
      <c r="B340" s="283" t="s">
        <v>163</v>
      </c>
      <c r="C340" s="283"/>
      <c r="D340" s="283"/>
      <c r="E340" s="283"/>
      <c r="F340" s="284" t="s">
        <v>114</v>
      </c>
      <c r="G340" s="284">
        <v>0</v>
      </c>
      <c r="H340" s="284">
        <v>240</v>
      </c>
      <c r="I340" s="284">
        <v>866</v>
      </c>
      <c r="J340" s="284">
        <v>9</v>
      </c>
      <c r="K340" s="284">
        <v>1115</v>
      </c>
      <c r="L340" s="545"/>
      <c r="M340" s="546"/>
    </row>
    <row r="341" spans="1:13" ht="9.75">
      <c r="A341" s="282">
        <v>11210</v>
      </c>
      <c r="B341" s="283" t="s">
        <v>163</v>
      </c>
      <c r="C341" s="283"/>
      <c r="D341" s="283"/>
      <c r="E341" s="283"/>
      <c r="F341" s="284" t="s">
        <v>119</v>
      </c>
      <c r="G341" s="284">
        <v>0</v>
      </c>
      <c r="H341" s="284">
        <v>12</v>
      </c>
      <c r="I341" s="284">
        <v>176</v>
      </c>
      <c r="J341" s="284">
        <v>1</v>
      </c>
      <c r="K341" s="284">
        <v>189</v>
      </c>
      <c r="L341" s="545"/>
      <c r="M341" s="546"/>
    </row>
    <row r="342" spans="1:13" ht="9.75">
      <c r="A342" s="282">
        <v>11210</v>
      </c>
      <c r="B342" s="283" t="s">
        <v>163</v>
      </c>
      <c r="C342" s="283"/>
      <c r="D342" s="283"/>
      <c r="E342" s="283"/>
      <c r="F342" s="284" t="s">
        <v>122</v>
      </c>
      <c r="G342" s="284">
        <v>0</v>
      </c>
      <c r="H342" s="284">
        <v>503</v>
      </c>
      <c r="I342" s="284">
        <v>420</v>
      </c>
      <c r="J342" s="284">
        <v>14</v>
      </c>
      <c r="K342" s="284">
        <v>937</v>
      </c>
      <c r="L342" s="545"/>
      <c r="M342" s="546"/>
    </row>
    <row r="343" spans="1:13" ht="14.25">
      <c r="A343" s="274">
        <v>11220</v>
      </c>
      <c r="B343" s="275" t="s">
        <v>259</v>
      </c>
      <c r="C343" s="275" t="s">
        <v>260</v>
      </c>
      <c r="D343" s="275" t="s">
        <v>261</v>
      </c>
      <c r="E343" s="276">
        <v>1</v>
      </c>
      <c r="F343" s="276" t="s">
        <v>110</v>
      </c>
      <c r="G343" s="276">
        <v>427</v>
      </c>
      <c r="H343" s="276">
        <v>18</v>
      </c>
      <c r="I343" s="276">
        <v>189</v>
      </c>
      <c r="J343" s="276">
        <v>3</v>
      </c>
      <c r="K343" s="276">
        <v>637</v>
      </c>
      <c r="L343" s="276">
        <v>617.5</v>
      </c>
      <c r="M343" s="277">
        <v>617.5</v>
      </c>
    </row>
    <row r="344" spans="1:13" ht="14.25">
      <c r="A344" s="278">
        <v>11220</v>
      </c>
      <c r="B344" s="279" t="s">
        <v>259</v>
      </c>
      <c r="C344" s="279" t="s">
        <v>260</v>
      </c>
      <c r="D344" s="279" t="s">
        <v>261</v>
      </c>
      <c r="E344" s="280">
        <v>1</v>
      </c>
      <c r="F344" s="280" t="s">
        <v>113</v>
      </c>
      <c r="G344" s="280">
        <v>0</v>
      </c>
      <c r="H344" s="280">
        <v>529</v>
      </c>
      <c r="I344" s="280">
        <v>2387</v>
      </c>
      <c r="J344" s="280">
        <v>48</v>
      </c>
      <c r="K344" s="280">
        <v>2964</v>
      </c>
      <c r="L344" s="280">
        <v>2411</v>
      </c>
      <c r="M344" s="281">
        <v>2411</v>
      </c>
    </row>
    <row r="345" spans="1:13" ht="14.25">
      <c r="A345" s="274">
        <v>11220</v>
      </c>
      <c r="B345" s="275" t="s">
        <v>259</v>
      </c>
      <c r="C345" s="275" t="s">
        <v>43</v>
      </c>
      <c r="D345" s="275" t="s">
        <v>44</v>
      </c>
      <c r="E345" s="276">
        <v>1</v>
      </c>
      <c r="F345" s="276" t="s">
        <v>119</v>
      </c>
      <c r="G345" s="276">
        <v>0</v>
      </c>
      <c r="H345" s="276">
        <v>8</v>
      </c>
      <c r="I345" s="276">
        <v>78</v>
      </c>
      <c r="J345" s="276">
        <v>0</v>
      </c>
      <c r="K345" s="276">
        <v>86</v>
      </c>
      <c r="L345" s="276">
        <v>78</v>
      </c>
      <c r="M345" s="277">
        <v>78</v>
      </c>
    </row>
    <row r="346" spans="1:13" ht="14.25">
      <c r="A346" s="278">
        <v>11220</v>
      </c>
      <c r="B346" s="279" t="s">
        <v>259</v>
      </c>
      <c r="C346" s="279" t="s">
        <v>43</v>
      </c>
      <c r="D346" s="279" t="s">
        <v>44</v>
      </c>
      <c r="E346" s="280">
        <v>1</v>
      </c>
      <c r="F346" s="280" t="s">
        <v>122</v>
      </c>
      <c r="G346" s="280">
        <v>0</v>
      </c>
      <c r="H346" s="280">
        <v>169</v>
      </c>
      <c r="I346" s="280">
        <v>274</v>
      </c>
      <c r="J346" s="280">
        <v>1</v>
      </c>
      <c r="K346" s="280">
        <v>444</v>
      </c>
      <c r="L346" s="280">
        <v>274.5</v>
      </c>
      <c r="M346" s="281">
        <v>274.5</v>
      </c>
    </row>
    <row r="347" spans="1:13" ht="9.75">
      <c r="A347" s="282">
        <v>11220</v>
      </c>
      <c r="B347" s="283" t="s">
        <v>163</v>
      </c>
      <c r="C347" s="283"/>
      <c r="D347" s="283"/>
      <c r="E347" s="283"/>
      <c r="F347" s="284" t="s">
        <v>132</v>
      </c>
      <c r="G347" s="284">
        <v>0</v>
      </c>
      <c r="H347" s="284">
        <v>0</v>
      </c>
      <c r="I347" s="284">
        <v>0</v>
      </c>
      <c r="J347" s="284">
        <v>0</v>
      </c>
      <c r="K347" s="284">
        <v>0</v>
      </c>
      <c r="L347" s="545"/>
      <c r="M347" s="546"/>
    </row>
    <row r="348" spans="1:13" ht="9.75">
      <c r="A348" s="282">
        <v>11220</v>
      </c>
      <c r="B348" s="283" t="s">
        <v>163</v>
      </c>
      <c r="C348" s="283"/>
      <c r="D348" s="283"/>
      <c r="E348" s="283"/>
      <c r="F348" s="284" t="s">
        <v>109</v>
      </c>
      <c r="G348" s="284">
        <v>0</v>
      </c>
      <c r="H348" s="284">
        <v>0</v>
      </c>
      <c r="I348" s="284">
        <v>0</v>
      </c>
      <c r="J348" s="284">
        <v>0</v>
      </c>
      <c r="K348" s="284">
        <v>0</v>
      </c>
      <c r="L348" s="545"/>
      <c r="M348" s="546"/>
    </row>
    <row r="349" spans="1:13" ht="9.75">
      <c r="A349" s="282">
        <v>11220</v>
      </c>
      <c r="B349" s="283" t="s">
        <v>163</v>
      </c>
      <c r="C349" s="283"/>
      <c r="D349" s="283"/>
      <c r="E349" s="283"/>
      <c r="F349" s="284" t="s">
        <v>110</v>
      </c>
      <c r="G349" s="284">
        <v>427</v>
      </c>
      <c r="H349" s="284">
        <v>18</v>
      </c>
      <c r="I349" s="284">
        <v>189</v>
      </c>
      <c r="J349" s="284">
        <v>3</v>
      </c>
      <c r="K349" s="284">
        <v>637</v>
      </c>
      <c r="L349" s="545"/>
      <c r="M349" s="546"/>
    </row>
    <row r="350" spans="1:13" ht="9.75">
      <c r="A350" s="282">
        <v>11220</v>
      </c>
      <c r="B350" s="283" t="s">
        <v>163</v>
      </c>
      <c r="C350" s="283"/>
      <c r="D350" s="283"/>
      <c r="E350" s="283"/>
      <c r="F350" s="284" t="s">
        <v>113</v>
      </c>
      <c r="G350" s="284">
        <v>0</v>
      </c>
      <c r="H350" s="284">
        <v>529</v>
      </c>
      <c r="I350" s="284">
        <v>2387</v>
      </c>
      <c r="J350" s="284">
        <v>48</v>
      </c>
      <c r="K350" s="284">
        <v>2964</v>
      </c>
      <c r="L350" s="545"/>
      <c r="M350" s="546"/>
    </row>
    <row r="351" spans="1:13" ht="9.75">
      <c r="A351" s="282">
        <v>11220</v>
      </c>
      <c r="B351" s="283" t="s">
        <v>163</v>
      </c>
      <c r="C351" s="283"/>
      <c r="D351" s="283"/>
      <c r="E351" s="283"/>
      <c r="F351" s="284" t="s">
        <v>116</v>
      </c>
      <c r="G351" s="284">
        <v>0</v>
      </c>
      <c r="H351" s="284">
        <v>0</v>
      </c>
      <c r="I351" s="284">
        <v>0</v>
      </c>
      <c r="J351" s="284">
        <v>0</v>
      </c>
      <c r="K351" s="284">
        <v>0</v>
      </c>
      <c r="L351" s="545"/>
      <c r="M351" s="546"/>
    </row>
    <row r="352" spans="1:13" ht="9.75">
      <c r="A352" s="282">
        <v>11220</v>
      </c>
      <c r="B352" s="283" t="s">
        <v>163</v>
      </c>
      <c r="C352" s="283"/>
      <c r="D352" s="283"/>
      <c r="E352" s="283"/>
      <c r="F352" s="284" t="s">
        <v>114</v>
      </c>
      <c r="G352" s="284">
        <v>0</v>
      </c>
      <c r="H352" s="284">
        <v>0</v>
      </c>
      <c r="I352" s="284">
        <v>0</v>
      </c>
      <c r="J352" s="284">
        <v>0</v>
      </c>
      <c r="K352" s="284">
        <v>0</v>
      </c>
      <c r="L352" s="545"/>
      <c r="M352" s="546"/>
    </row>
    <row r="353" spans="1:13" ht="9.75">
      <c r="A353" s="282">
        <v>11220</v>
      </c>
      <c r="B353" s="283" t="s">
        <v>163</v>
      </c>
      <c r="C353" s="283"/>
      <c r="D353" s="283"/>
      <c r="E353" s="283"/>
      <c r="F353" s="284" t="s">
        <v>119</v>
      </c>
      <c r="G353" s="284">
        <v>0</v>
      </c>
      <c r="H353" s="284">
        <v>8</v>
      </c>
      <c r="I353" s="284">
        <v>78</v>
      </c>
      <c r="J353" s="284">
        <v>0</v>
      </c>
      <c r="K353" s="284">
        <v>86</v>
      </c>
      <c r="L353" s="545"/>
      <c r="M353" s="546"/>
    </row>
    <row r="354" spans="1:13" ht="9.75">
      <c r="A354" s="282">
        <v>11220</v>
      </c>
      <c r="B354" s="283" t="s">
        <v>163</v>
      </c>
      <c r="C354" s="283"/>
      <c r="D354" s="283"/>
      <c r="E354" s="283"/>
      <c r="F354" s="284" t="s">
        <v>122</v>
      </c>
      <c r="G354" s="284">
        <v>0</v>
      </c>
      <c r="H354" s="284">
        <v>169</v>
      </c>
      <c r="I354" s="284">
        <v>274</v>
      </c>
      <c r="J354" s="284">
        <v>1</v>
      </c>
      <c r="K354" s="284">
        <v>444</v>
      </c>
      <c r="L354" s="545"/>
      <c r="M354" s="546"/>
    </row>
    <row r="355" spans="1:13" ht="14.25">
      <c r="A355" s="274">
        <v>11230</v>
      </c>
      <c r="B355" s="275" t="s">
        <v>262</v>
      </c>
      <c r="C355" s="275" t="s">
        <v>46</v>
      </c>
      <c r="D355" s="275" t="s">
        <v>47</v>
      </c>
      <c r="E355" s="276">
        <v>1</v>
      </c>
      <c r="F355" s="276" t="s">
        <v>132</v>
      </c>
      <c r="G355" s="276">
        <v>100</v>
      </c>
      <c r="H355" s="276">
        <v>1</v>
      </c>
      <c r="I355" s="276">
        <v>31</v>
      </c>
      <c r="J355" s="276">
        <v>1</v>
      </c>
      <c r="K355" s="276">
        <v>133</v>
      </c>
      <c r="L355" s="276">
        <v>131.5</v>
      </c>
      <c r="M355" s="277">
        <v>131.5</v>
      </c>
    </row>
    <row r="356" spans="1:13" ht="14.25">
      <c r="A356" s="278">
        <v>11230</v>
      </c>
      <c r="B356" s="279" t="s">
        <v>262</v>
      </c>
      <c r="C356" s="279" t="s">
        <v>46</v>
      </c>
      <c r="D356" s="279" t="s">
        <v>47</v>
      </c>
      <c r="E356" s="280">
        <v>1</v>
      </c>
      <c r="F356" s="280" t="s">
        <v>109</v>
      </c>
      <c r="G356" s="280">
        <v>0</v>
      </c>
      <c r="H356" s="280">
        <v>17</v>
      </c>
      <c r="I356" s="280">
        <v>193</v>
      </c>
      <c r="J356" s="280">
        <v>3</v>
      </c>
      <c r="K356" s="280">
        <v>213</v>
      </c>
      <c r="L356" s="280">
        <v>194.5</v>
      </c>
      <c r="M356" s="281">
        <v>194.5</v>
      </c>
    </row>
    <row r="357" spans="1:13" ht="14.25">
      <c r="A357" s="274">
        <v>11230</v>
      </c>
      <c r="B357" s="275" t="s">
        <v>262</v>
      </c>
      <c r="C357" s="275" t="s">
        <v>227</v>
      </c>
      <c r="D357" s="275" t="s">
        <v>50</v>
      </c>
      <c r="E357" s="276">
        <v>1</v>
      </c>
      <c r="F357" s="276" t="s">
        <v>132</v>
      </c>
      <c r="G357" s="276">
        <v>83</v>
      </c>
      <c r="H357" s="276">
        <v>4</v>
      </c>
      <c r="I357" s="276">
        <v>47</v>
      </c>
      <c r="J357" s="276">
        <v>0</v>
      </c>
      <c r="K357" s="276">
        <v>134</v>
      </c>
      <c r="L357" s="276">
        <v>130</v>
      </c>
      <c r="M357" s="277">
        <v>130</v>
      </c>
    </row>
    <row r="358" spans="1:13" ht="14.25">
      <c r="A358" s="278">
        <v>11230</v>
      </c>
      <c r="B358" s="279" t="s">
        <v>262</v>
      </c>
      <c r="C358" s="279" t="s">
        <v>227</v>
      </c>
      <c r="D358" s="279" t="s">
        <v>50</v>
      </c>
      <c r="E358" s="280">
        <v>1</v>
      </c>
      <c r="F358" s="280" t="s">
        <v>109</v>
      </c>
      <c r="G358" s="280">
        <v>0</v>
      </c>
      <c r="H358" s="280">
        <v>28</v>
      </c>
      <c r="I358" s="280">
        <v>237</v>
      </c>
      <c r="J358" s="280">
        <v>5</v>
      </c>
      <c r="K358" s="280">
        <v>270</v>
      </c>
      <c r="L358" s="280">
        <v>239.5</v>
      </c>
      <c r="M358" s="281">
        <v>239.5</v>
      </c>
    </row>
    <row r="359" spans="1:13" ht="14.25">
      <c r="A359" s="274">
        <v>11230</v>
      </c>
      <c r="B359" s="275" t="s">
        <v>262</v>
      </c>
      <c r="C359" s="275" t="s">
        <v>263</v>
      </c>
      <c r="D359" s="275" t="s">
        <v>52</v>
      </c>
      <c r="E359" s="276">
        <v>1</v>
      </c>
      <c r="F359" s="276" t="s">
        <v>132</v>
      </c>
      <c r="G359" s="276">
        <v>137</v>
      </c>
      <c r="H359" s="276">
        <v>4</v>
      </c>
      <c r="I359" s="276">
        <v>65</v>
      </c>
      <c r="J359" s="276">
        <v>3</v>
      </c>
      <c r="K359" s="276">
        <v>209</v>
      </c>
      <c r="L359" s="276">
        <v>203.5</v>
      </c>
      <c r="M359" s="277">
        <v>203.5</v>
      </c>
    </row>
    <row r="360" spans="1:13" ht="14.25">
      <c r="A360" s="278">
        <v>11230</v>
      </c>
      <c r="B360" s="279" t="s">
        <v>262</v>
      </c>
      <c r="C360" s="279" t="s">
        <v>263</v>
      </c>
      <c r="D360" s="279" t="s">
        <v>52</v>
      </c>
      <c r="E360" s="280">
        <v>1</v>
      </c>
      <c r="F360" s="280" t="s">
        <v>109</v>
      </c>
      <c r="G360" s="280">
        <v>0</v>
      </c>
      <c r="H360" s="280">
        <v>33</v>
      </c>
      <c r="I360" s="280">
        <v>261</v>
      </c>
      <c r="J360" s="280">
        <v>3</v>
      </c>
      <c r="K360" s="280">
        <v>297</v>
      </c>
      <c r="L360" s="280">
        <v>262.5</v>
      </c>
      <c r="M360" s="281">
        <v>262.5</v>
      </c>
    </row>
    <row r="361" spans="1:13" ht="14.25">
      <c r="A361" s="274">
        <v>11230</v>
      </c>
      <c r="B361" s="275" t="s">
        <v>262</v>
      </c>
      <c r="C361" s="275" t="s">
        <v>228</v>
      </c>
      <c r="D361" s="275" t="s">
        <v>54</v>
      </c>
      <c r="E361" s="276">
        <v>1</v>
      </c>
      <c r="F361" s="276" t="s">
        <v>132</v>
      </c>
      <c r="G361" s="276">
        <v>84</v>
      </c>
      <c r="H361" s="276">
        <v>1</v>
      </c>
      <c r="I361" s="276">
        <v>31</v>
      </c>
      <c r="J361" s="276">
        <v>1</v>
      </c>
      <c r="K361" s="276">
        <v>117</v>
      </c>
      <c r="L361" s="276">
        <v>115.5</v>
      </c>
      <c r="M361" s="277">
        <v>115.5</v>
      </c>
    </row>
    <row r="362" spans="1:13" ht="14.25">
      <c r="A362" s="278">
        <v>11230</v>
      </c>
      <c r="B362" s="279" t="s">
        <v>262</v>
      </c>
      <c r="C362" s="279" t="s">
        <v>228</v>
      </c>
      <c r="D362" s="279" t="s">
        <v>54</v>
      </c>
      <c r="E362" s="280">
        <v>1</v>
      </c>
      <c r="F362" s="280" t="s">
        <v>109</v>
      </c>
      <c r="G362" s="280">
        <v>0</v>
      </c>
      <c r="H362" s="280">
        <v>18</v>
      </c>
      <c r="I362" s="280">
        <v>153</v>
      </c>
      <c r="J362" s="280">
        <v>6</v>
      </c>
      <c r="K362" s="280">
        <v>177</v>
      </c>
      <c r="L362" s="280">
        <v>156</v>
      </c>
      <c r="M362" s="281">
        <v>156</v>
      </c>
    </row>
    <row r="363" spans="1:13" ht="14.25">
      <c r="A363" s="274">
        <v>11230</v>
      </c>
      <c r="B363" s="275" t="s">
        <v>262</v>
      </c>
      <c r="C363" s="275" t="s">
        <v>231</v>
      </c>
      <c r="D363" s="275" t="s">
        <v>39</v>
      </c>
      <c r="E363" s="276">
        <v>1</v>
      </c>
      <c r="F363" s="276" t="s">
        <v>132</v>
      </c>
      <c r="G363" s="276">
        <v>9</v>
      </c>
      <c r="H363" s="276">
        <v>3</v>
      </c>
      <c r="I363" s="276">
        <v>20</v>
      </c>
      <c r="J363" s="276">
        <v>0</v>
      </c>
      <c r="K363" s="276">
        <v>32</v>
      </c>
      <c r="L363" s="276">
        <v>29</v>
      </c>
      <c r="M363" s="277">
        <v>29</v>
      </c>
    </row>
    <row r="364" spans="1:13" ht="14.25">
      <c r="A364" s="278">
        <v>11230</v>
      </c>
      <c r="B364" s="279" t="s">
        <v>262</v>
      </c>
      <c r="C364" s="279" t="s">
        <v>231</v>
      </c>
      <c r="D364" s="279" t="s">
        <v>39</v>
      </c>
      <c r="E364" s="280">
        <v>1</v>
      </c>
      <c r="F364" s="280" t="s">
        <v>109</v>
      </c>
      <c r="G364" s="280">
        <v>0</v>
      </c>
      <c r="H364" s="280">
        <v>8</v>
      </c>
      <c r="I364" s="280">
        <v>12</v>
      </c>
      <c r="J364" s="280">
        <v>0</v>
      </c>
      <c r="K364" s="280">
        <v>20</v>
      </c>
      <c r="L364" s="280">
        <v>12</v>
      </c>
      <c r="M364" s="281">
        <v>12</v>
      </c>
    </row>
    <row r="365" spans="1:13" ht="14.25">
      <c r="A365" s="274">
        <v>11230</v>
      </c>
      <c r="B365" s="275" t="s">
        <v>262</v>
      </c>
      <c r="C365" s="275" t="s">
        <v>264</v>
      </c>
      <c r="D365" s="275" t="s">
        <v>265</v>
      </c>
      <c r="E365" s="276">
        <v>1.2</v>
      </c>
      <c r="F365" s="276" t="s">
        <v>132</v>
      </c>
      <c r="G365" s="276">
        <v>98</v>
      </c>
      <c r="H365" s="276">
        <v>9</v>
      </c>
      <c r="I365" s="276">
        <v>120</v>
      </c>
      <c r="J365" s="276">
        <v>2</v>
      </c>
      <c r="K365" s="276">
        <v>229</v>
      </c>
      <c r="L365" s="276">
        <v>219</v>
      </c>
      <c r="M365" s="277">
        <v>262.8</v>
      </c>
    </row>
    <row r="366" spans="1:13" ht="14.25">
      <c r="A366" s="278">
        <v>11230</v>
      </c>
      <c r="B366" s="279" t="s">
        <v>262</v>
      </c>
      <c r="C366" s="279" t="s">
        <v>264</v>
      </c>
      <c r="D366" s="279" t="s">
        <v>265</v>
      </c>
      <c r="E366" s="280">
        <v>1.2</v>
      </c>
      <c r="F366" s="280" t="s">
        <v>109</v>
      </c>
      <c r="G366" s="280">
        <v>0</v>
      </c>
      <c r="H366" s="280">
        <v>57</v>
      </c>
      <c r="I366" s="280">
        <v>356</v>
      </c>
      <c r="J366" s="280">
        <v>8</v>
      </c>
      <c r="K366" s="280">
        <v>421</v>
      </c>
      <c r="L366" s="280">
        <v>360</v>
      </c>
      <c r="M366" s="281">
        <v>432</v>
      </c>
    </row>
    <row r="367" spans="1:13" ht="14.25">
      <c r="A367" s="274">
        <v>11230</v>
      </c>
      <c r="B367" s="275" t="s">
        <v>262</v>
      </c>
      <c r="C367" s="275" t="s">
        <v>48</v>
      </c>
      <c r="D367" s="275" t="s">
        <v>47</v>
      </c>
      <c r="E367" s="276">
        <v>1</v>
      </c>
      <c r="F367" s="276" t="s">
        <v>116</v>
      </c>
      <c r="G367" s="276">
        <v>0</v>
      </c>
      <c r="H367" s="276">
        <v>1</v>
      </c>
      <c r="I367" s="276">
        <v>64</v>
      </c>
      <c r="J367" s="276">
        <v>0</v>
      </c>
      <c r="K367" s="276">
        <v>65</v>
      </c>
      <c r="L367" s="276">
        <v>64</v>
      </c>
      <c r="M367" s="277">
        <v>64</v>
      </c>
    </row>
    <row r="368" spans="1:13" ht="14.25">
      <c r="A368" s="278">
        <v>11230</v>
      </c>
      <c r="B368" s="279" t="s">
        <v>262</v>
      </c>
      <c r="C368" s="279" t="s">
        <v>48</v>
      </c>
      <c r="D368" s="279" t="s">
        <v>47</v>
      </c>
      <c r="E368" s="280">
        <v>1</v>
      </c>
      <c r="F368" s="280" t="s">
        <v>114</v>
      </c>
      <c r="G368" s="280">
        <v>0</v>
      </c>
      <c r="H368" s="280">
        <v>34</v>
      </c>
      <c r="I368" s="280">
        <v>86</v>
      </c>
      <c r="J368" s="280">
        <v>1</v>
      </c>
      <c r="K368" s="280">
        <v>121</v>
      </c>
      <c r="L368" s="280">
        <v>86.5</v>
      </c>
      <c r="M368" s="281">
        <v>86.5</v>
      </c>
    </row>
    <row r="369" spans="1:13" ht="14.25">
      <c r="A369" s="274">
        <v>11230</v>
      </c>
      <c r="B369" s="275" t="s">
        <v>262</v>
      </c>
      <c r="C369" s="275" t="s">
        <v>49</v>
      </c>
      <c r="D369" s="275" t="s">
        <v>50</v>
      </c>
      <c r="E369" s="276">
        <v>1</v>
      </c>
      <c r="F369" s="276" t="s">
        <v>116</v>
      </c>
      <c r="G369" s="276">
        <v>0</v>
      </c>
      <c r="H369" s="276">
        <v>1</v>
      </c>
      <c r="I369" s="276">
        <v>116</v>
      </c>
      <c r="J369" s="276">
        <v>0</v>
      </c>
      <c r="K369" s="276">
        <v>117</v>
      </c>
      <c r="L369" s="276">
        <v>116</v>
      </c>
      <c r="M369" s="277">
        <v>116</v>
      </c>
    </row>
    <row r="370" spans="1:13" ht="14.25">
      <c r="A370" s="278">
        <v>11230</v>
      </c>
      <c r="B370" s="279" t="s">
        <v>262</v>
      </c>
      <c r="C370" s="279" t="s">
        <v>49</v>
      </c>
      <c r="D370" s="279" t="s">
        <v>50</v>
      </c>
      <c r="E370" s="280">
        <v>1</v>
      </c>
      <c r="F370" s="280" t="s">
        <v>114</v>
      </c>
      <c r="G370" s="280">
        <v>0</v>
      </c>
      <c r="H370" s="280">
        <v>44</v>
      </c>
      <c r="I370" s="280">
        <v>167</v>
      </c>
      <c r="J370" s="280">
        <v>2</v>
      </c>
      <c r="K370" s="280">
        <v>213</v>
      </c>
      <c r="L370" s="280">
        <v>168</v>
      </c>
      <c r="M370" s="281">
        <v>168</v>
      </c>
    </row>
    <row r="371" spans="1:13" ht="14.25">
      <c r="A371" s="274">
        <v>11230</v>
      </c>
      <c r="B371" s="275" t="s">
        <v>262</v>
      </c>
      <c r="C371" s="275" t="s">
        <v>51</v>
      </c>
      <c r="D371" s="275" t="s">
        <v>52</v>
      </c>
      <c r="E371" s="276">
        <v>1</v>
      </c>
      <c r="F371" s="276" t="s">
        <v>116</v>
      </c>
      <c r="G371" s="276">
        <v>0</v>
      </c>
      <c r="H371" s="276">
        <v>1</v>
      </c>
      <c r="I371" s="276">
        <v>74</v>
      </c>
      <c r="J371" s="276">
        <v>0</v>
      </c>
      <c r="K371" s="276">
        <v>75</v>
      </c>
      <c r="L371" s="276">
        <v>74</v>
      </c>
      <c r="M371" s="277">
        <v>74</v>
      </c>
    </row>
    <row r="372" spans="1:13" ht="14.25">
      <c r="A372" s="278">
        <v>11230</v>
      </c>
      <c r="B372" s="279" t="s">
        <v>262</v>
      </c>
      <c r="C372" s="279" t="s">
        <v>51</v>
      </c>
      <c r="D372" s="279" t="s">
        <v>52</v>
      </c>
      <c r="E372" s="280">
        <v>1</v>
      </c>
      <c r="F372" s="280" t="s">
        <v>114</v>
      </c>
      <c r="G372" s="280">
        <v>0</v>
      </c>
      <c r="H372" s="280">
        <v>14</v>
      </c>
      <c r="I372" s="280">
        <v>76</v>
      </c>
      <c r="J372" s="280">
        <v>0</v>
      </c>
      <c r="K372" s="280">
        <v>90</v>
      </c>
      <c r="L372" s="280">
        <v>76</v>
      </c>
      <c r="M372" s="281">
        <v>76</v>
      </c>
    </row>
    <row r="373" spans="1:13" ht="14.25">
      <c r="A373" s="274">
        <v>11230</v>
      </c>
      <c r="B373" s="275" t="s">
        <v>262</v>
      </c>
      <c r="C373" s="275" t="s">
        <v>53</v>
      </c>
      <c r="D373" s="275" t="s">
        <v>54</v>
      </c>
      <c r="E373" s="276">
        <v>1</v>
      </c>
      <c r="F373" s="276" t="s">
        <v>116</v>
      </c>
      <c r="G373" s="276">
        <v>0</v>
      </c>
      <c r="H373" s="276">
        <v>1</v>
      </c>
      <c r="I373" s="276">
        <v>63</v>
      </c>
      <c r="J373" s="276">
        <v>0</v>
      </c>
      <c r="K373" s="276">
        <v>64</v>
      </c>
      <c r="L373" s="276">
        <v>63</v>
      </c>
      <c r="M373" s="277">
        <v>63</v>
      </c>
    </row>
    <row r="374" spans="1:13" ht="14.25">
      <c r="A374" s="278">
        <v>11230</v>
      </c>
      <c r="B374" s="279" t="s">
        <v>262</v>
      </c>
      <c r="C374" s="279" t="s">
        <v>53</v>
      </c>
      <c r="D374" s="279" t="s">
        <v>54</v>
      </c>
      <c r="E374" s="280">
        <v>1</v>
      </c>
      <c r="F374" s="280" t="s">
        <v>114</v>
      </c>
      <c r="G374" s="280">
        <v>0</v>
      </c>
      <c r="H374" s="280">
        <v>16</v>
      </c>
      <c r="I374" s="280">
        <v>120</v>
      </c>
      <c r="J374" s="280">
        <v>0</v>
      </c>
      <c r="K374" s="280">
        <v>136</v>
      </c>
      <c r="L374" s="280">
        <v>120</v>
      </c>
      <c r="M374" s="281">
        <v>120</v>
      </c>
    </row>
    <row r="375" spans="1:13" ht="14.25">
      <c r="A375" s="274">
        <v>11230</v>
      </c>
      <c r="B375" s="275" t="s">
        <v>262</v>
      </c>
      <c r="C375" s="275" t="s">
        <v>266</v>
      </c>
      <c r="D375" s="275" t="s">
        <v>265</v>
      </c>
      <c r="E375" s="276">
        <v>1.2</v>
      </c>
      <c r="F375" s="276" t="s">
        <v>116</v>
      </c>
      <c r="G375" s="276">
        <v>0</v>
      </c>
      <c r="H375" s="276">
        <v>3</v>
      </c>
      <c r="I375" s="276">
        <v>234</v>
      </c>
      <c r="J375" s="276">
        <v>2</v>
      </c>
      <c r="K375" s="276">
        <v>239</v>
      </c>
      <c r="L375" s="276">
        <v>235</v>
      </c>
      <c r="M375" s="277">
        <v>282</v>
      </c>
    </row>
    <row r="376" spans="1:13" ht="14.25">
      <c r="A376" s="278">
        <v>11230</v>
      </c>
      <c r="B376" s="279" t="s">
        <v>262</v>
      </c>
      <c r="C376" s="279" t="s">
        <v>266</v>
      </c>
      <c r="D376" s="279" t="s">
        <v>265</v>
      </c>
      <c r="E376" s="280">
        <v>1.2</v>
      </c>
      <c r="F376" s="280" t="s">
        <v>114</v>
      </c>
      <c r="G376" s="280">
        <v>0</v>
      </c>
      <c r="H376" s="280">
        <v>60</v>
      </c>
      <c r="I376" s="280">
        <v>325</v>
      </c>
      <c r="J376" s="280">
        <v>6</v>
      </c>
      <c r="K376" s="280">
        <v>391</v>
      </c>
      <c r="L376" s="280">
        <v>328</v>
      </c>
      <c r="M376" s="281">
        <v>393.6</v>
      </c>
    </row>
    <row r="377" spans="1:13" ht="14.25">
      <c r="A377" s="274">
        <v>11230</v>
      </c>
      <c r="B377" s="275" t="s">
        <v>262</v>
      </c>
      <c r="C377" s="275" t="s">
        <v>55</v>
      </c>
      <c r="D377" s="275" t="s">
        <v>47</v>
      </c>
      <c r="E377" s="276">
        <v>1</v>
      </c>
      <c r="F377" s="276" t="s">
        <v>119</v>
      </c>
      <c r="G377" s="276">
        <v>0</v>
      </c>
      <c r="H377" s="276">
        <v>0</v>
      </c>
      <c r="I377" s="276">
        <v>16</v>
      </c>
      <c r="J377" s="276">
        <v>0</v>
      </c>
      <c r="K377" s="276">
        <v>16</v>
      </c>
      <c r="L377" s="276">
        <v>16</v>
      </c>
      <c r="M377" s="277">
        <v>16</v>
      </c>
    </row>
    <row r="378" spans="1:13" ht="14.25">
      <c r="A378" s="278">
        <v>11230</v>
      </c>
      <c r="B378" s="279" t="s">
        <v>262</v>
      </c>
      <c r="C378" s="279" t="s">
        <v>55</v>
      </c>
      <c r="D378" s="279" t="s">
        <v>47</v>
      </c>
      <c r="E378" s="280">
        <v>1</v>
      </c>
      <c r="F378" s="280" t="s">
        <v>122</v>
      </c>
      <c r="G378" s="280">
        <v>0</v>
      </c>
      <c r="H378" s="280">
        <v>25</v>
      </c>
      <c r="I378" s="280">
        <v>33</v>
      </c>
      <c r="J378" s="280">
        <v>0</v>
      </c>
      <c r="K378" s="280">
        <v>58</v>
      </c>
      <c r="L378" s="280">
        <v>33</v>
      </c>
      <c r="M378" s="281">
        <v>33</v>
      </c>
    </row>
    <row r="379" spans="1:13" ht="14.25">
      <c r="A379" s="547">
        <v>11620</v>
      </c>
      <c r="B379" s="548" t="s">
        <v>262</v>
      </c>
      <c r="C379" s="548" t="s">
        <v>267</v>
      </c>
      <c r="D379" s="548" t="s">
        <v>268</v>
      </c>
      <c r="E379" s="549">
        <v>1</v>
      </c>
      <c r="F379" s="549" t="s">
        <v>119</v>
      </c>
      <c r="G379" s="549">
        <v>0</v>
      </c>
      <c r="H379" s="549">
        <v>1</v>
      </c>
      <c r="I379" s="549">
        <v>31</v>
      </c>
      <c r="J379" s="549">
        <v>0</v>
      </c>
      <c r="K379" s="549">
        <v>32</v>
      </c>
      <c r="L379" s="549">
        <v>31</v>
      </c>
      <c r="M379" s="550">
        <v>31</v>
      </c>
    </row>
    <row r="380" spans="1:13" ht="14.25">
      <c r="A380" s="547">
        <v>11620</v>
      </c>
      <c r="B380" s="548" t="s">
        <v>262</v>
      </c>
      <c r="C380" s="548" t="s">
        <v>267</v>
      </c>
      <c r="D380" s="548" t="s">
        <v>268</v>
      </c>
      <c r="E380" s="549">
        <v>1</v>
      </c>
      <c r="F380" s="549" t="s">
        <v>122</v>
      </c>
      <c r="G380" s="549">
        <v>0</v>
      </c>
      <c r="H380" s="549">
        <v>27</v>
      </c>
      <c r="I380" s="549">
        <v>57</v>
      </c>
      <c r="J380" s="549">
        <v>0</v>
      </c>
      <c r="K380" s="549">
        <v>84</v>
      </c>
      <c r="L380" s="549">
        <v>57</v>
      </c>
      <c r="M380" s="550">
        <v>57</v>
      </c>
    </row>
    <row r="381" spans="1:13" ht="14.25">
      <c r="A381" s="274">
        <v>11230</v>
      </c>
      <c r="B381" s="275" t="s">
        <v>262</v>
      </c>
      <c r="C381" s="275" t="s">
        <v>56</v>
      </c>
      <c r="D381" s="275" t="s">
        <v>50</v>
      </c>
      <c r="E381" s="276">
        <v>1</v>
      </c>
      <c r="F381" s="276" t="s">
        <v>119</v>
      </c>
      <c r="G381" s="276">
        <v>0</v>
      </c>
      <c r="H381" s="276">
        <v>0</v>
      </c>
      <c r="I381" s="276">
        <v>6</v>
      </c>
      <c r="J381" s="276">
        <v>0</v>
      </c>
      <c r="K381" s="276">
        <v>6</v>
      </c>
      <c r="L381" s="276">
        <v>6</v>
      </c>
      <c r="M381" s="277">
        <v>6</v>
      </c>
    </row>
    <row r="382" spans="1:13" ht="14.25">
      <c r="A382" s="278">
        <v>11230</v>
      </c>
      <c r="B382" s="279" t="s">
        <v>262</v>
      </c>
      <c r="C382" s="279" t="s">
        <v>56</v>
      </c>
      <c r="D382" s="279" t="s">
        <v>50</v>
      </c>
      <c r="E382" s="280">
        <v>1</v>
      </c>
      <c r="F382" s="280" t="s">
        <v>122</v>
      </c>
      <c r="G382" s="280">
        <v>0</v>
      </c>
      <c r="H382" s="280">
        <v>8</v>
      </c>
      <c r="I382" s="280">
        <v>32</v>
      </c>
      <c r="J382" s="280">
        <v>0</v>
      </c>
      <c r="K382" s="280">
        <v>40</v>
      </c>
      <c r="L382" s="280">
        <v>32</v>
      </c>
      <c r="M382" s="281">
        <v>32</v>
      </c>
    </row>
    <row r="383" spans="1:13" ht="14.25">
      <c r="A383" s="274">
        <v>11230</v>
      </c>
      <c r="B383" s="275" t="s">
        <v>262</v>
      </c>
      <c r="C383" s="275" t="s">
        <v>269</v>
      </c>
      <c r="D383" s="275" t="s">
        <v>52</v>
      </c>
      <c r="E383" s="276">
        <v>1</v>
      </c>
      <c r="F383" s="276" t="s">
        <v>119</v>
      </c>
      <c r="G383" s="276">
        <v>0</v>
      </c>
      <c r="H383" s="276">
        <v>0</v>
      </c>
      <c r="I383" s="276">
        <v>4</v>
      </c>
      <c r="J383" s="276">
        <v>0</v>
      </c>
      <c r="K383" s="276">
        <v>4</v>
      </c>
      <c r="L383" s="276">
        <v>4</v>
      </c>
      <c r="M383" s="277">
        <v>4</v>
      </c>
    </row>
    <row r="384" spans="1:13" ht="14.25">
      <c r="A384" s="278">
        <v>11230</v>
      </c>
      <c r="B384" s="279" t="s">
        <v>262</v>
      </c>
      <c r="C384" s="279" t="s">
        <v>269</v>
      </c>
      <c r="D384" s="279" t="s">
        <v>52</v>
      </c>
      <c r="E384" s="280">
        <v>1</v>
      </c>
      <c r="F384" s="280" t="s">
        <v>122</v>
      </c>
      <c r="G384" s="280">
        <v>0</v>
      </c>
      <c r="H384" s="280">
        <v>14</v>
      </c>
      <c r="I384" s="280">
        <v>27</v>
      </c>
      <c r="J384" s="280">
        <v>1</v>
      </c>
      <c r="K384" s="280">
        <v>42</v>
      </c>
      <c r="L384" s="280">
        <v>27.5</v>
      </c>
      <c r="M384" s="281">
        <v>27.5</v>
      </c>
    </row>
    <row r="385" spans="1:13" ht="14.25">
      <c r="A385" s="274">
        <v>11230</v>
      </c>
      <c r="B385" s="275" t="s">
        <v>262</v>
      </c>
      <c r="C385" s="275" t="s">
        <v>57</v>
      </c>
      <c r="D385" s="275" t="s">
        <v>54</v>
      </c>
      <c r="E385" s="276">
        <v>1</v>
      </c>
      <c r="F385" s="276" t="s">
        <v>119</v>
      </c>
      <c r="G385" s="276">
        <v>0</v>
      </c>
      <c r="H385" s="276">
        <v>0</v>
      </c>
      <c r="I385" s="276">
        <v>11</v>
      </c>
      <c r="J385" s="276">
        <v>0</v>
      </c>
      <c r="K385" s="276">
        <v>11</v>
      </c>
      <c r="L385" s="276">
        <v>11</v>
      </c>
      <c r="M385" s="277">
        <v>11</v>
      </c>
    </row>
    <row r="386" spans="1:13" ht="14.25">
      <c r="A386" s="278">
        <v>11230</v>
      </c>
      <c r="B386" s="279" t="s">
        <v>262</v>
      </c>
      <c r="C386" s="279" t="s">
        <v>57</v>
      </c>
      <c r="D386" s="279" t="s">
        <v>54</v>
      </c>
      <c r="E386" s="280">
        <v>1</v>
      </c>
      <c r="F386" s="280" t="s">
        <v>122</v>
      </c>
      <c r="G386" s="280">
        <v>0</v>
      </c>
      <c r="H386" s="280">
        <v>27</v>
      </c>
      <c r="I386" s="280">
        <v>44</v>
      </c>
      <c r="J386" s="280">
        <v>2</v>
      </c>
      <c r="K386" s="280">
        <v>73</v>
      </c>
      <c r="L386" s="280">
        <v>45</v>
      </c>
      <c r="M386" s="281">
        <v>45</v>
      </c>
    </row>
    <row r="387" spans="1:13" ht="14.25">
      <c r="A387" s="274">
        <v>11230</v>
      </c>
      <c r="B387" s="275" t="s">
        <v>262</v>
      </c>
      <c r="C387" s="275" t="s">
        <v>255</v>
      </c>
      <c r="D387" s="275" t="s">
        <v>39</v>
      </c>
      <c r="E387" s="276">
        <v>1</v>
      </c>
      <c r="F387" s="276" t="s">
        <v>119</v>
      </c>
      <c r="G387" s="276">
        <v>0</v>
      </c>
      <c r="H387" s="276">
        <v>0</v>
      </c>
      <c r="I387" s="276">
        <v>6</v>
      </c>
      <c r="J387" s="276">
        <v>0</v>
      </c>
      <c r="K387" s="276">
        <v>6</v>
      </c>
      <c r="L387" s="276">
        <v>6</v>
      </c>
      <c r="M387" s="277">
        <v>6</v>
      </c>
    </row>
    <row r="388" spans="1:13" ht="14.25">
      <c r="A388" s="278">
        <v>11230</v>
      </c>
      <c r="B388" s="279" t="s">
        <v>262</v>
      </c>
      <c r="C388" s="279" t="s">
        <v>255</v>
      </c>
      <c r="D388" s="279" t="s">
        <v>39</v>
      </c>
      <c r="E388" s="280">
        <v>1</v>
      </c>
      <c r="F388" s="280" t="s">
        <v>122</v>
      </c>
      <c r="G388" s="280">
        <v>0</v>
      </c>
      <c r="H388" s="280">
        <v>12</v>
      </c>
      <c r="I388" s="280">
        <v>13</v>
      </c>
      <c r="J388" s="280">
        <v>1</v>
      </c>
      <c r="K388" s="280">
        <v>26</v>
      </c>
      <c r="L388" s="280">
        <v>13.5</v>
      </c>
      <c r="M388" s="281">
        <v>13.5</v>
      </c>
    </row>
    <row r="389" spans="1:13" ht="14.25">
      <c r="A389" s="274">
        <v>11230</v>
      </c>
      <c r="B389" s="275" t="s">
        <v>262</v>
      </c>
      <c r="C389" s="275" t="s">
        <v>270</v>
      </c>
      <c r="D389" s="275" t="s">
        <v>265</v>
      </c>
      <c r="E389" s="276">
        <v>1.2</v>
      </c>
      <c r="F389" s="276" t="s">
        <v>119</v>
      </c>
      <c r="G389" s="276">
        <v>0</v>
      </c>
      <c r="H389" s="276">
        <v>0</v>
      </c>
      <c r="I389" s="276">
        <v>10</v>
      </c>
      <c r="J389" s="276">
        <v>0</v>
      </c>
      <c r="K389" s="276">
        <v>10</v>
      </c>
      <c r="L389" s="276">
        <v>10</v>
      </c>
      <c r="M389" s="277">
        <v>12</v>
      </c>
    </row>
    <row r="390" spans="1:13" ht="14.25">
      <c r="A390" s="278">
        <v>11230</v>
      </c>
      <c r="B390" s="279" t="s">
        <v>262</v>
      </c>
      <c r="C390" s="279" t="s">
        <v>270</v>
      </c>
      <c r="D390" s="279" t="s">
        <v>265</v>
      </c>
      <c r="E390" s="280">
        <v>1.2</v>
      </c>
      <c r="F390" s="280" t="s">
        <v>122</v>
      </c>
      <c r="G390" s="280">
        <v>0</v>
      </c>
      <c r="H390" s="280">
        <v>8</v>
      </c>
      <c r="I390" s="280">
        <v>31</v>
      </c>
      <c r="J390" s="280">
        <v>0</v>
      </c>
      <c r="K390" s="280">
        <v>39</v>
      </c>
      <c r="L390" s="280">
        <v>31</v>
      </c>
      <c r="M390" s="281">
        <v>37.2</v>
      </c>
    </row>
    <row r="391" spans="1:13" ht="9.75">
      <c r="A391" s="282">
        <v>11230</v>
      </c>
      <c r="B391" s="283" t="s">
        <v>163</v>
      </c>
      <c r="C391" s="283"/>
      <c r="D391" s="283"/>
      <c r="E391" s="283"/>
      <c r="F391" s="284" t="s">
        <v>132</v>
      </c>
      <c r="G391" s="284">
        <v>511</v>
      </c>
      <c r="H391" s="284">
        <v>22</v>
      </c>
      <c r="I391" s="284">
        <v>314</v>
      </c>
      <c r="J391" s="284">
        <v>7</v>
      </c>
      <c r="K391" s="284">
        <v>854</v>
      </c>
      <c r="L391" s="545"/>
      <c r="M391" s="546"/>
    </row>
    <row r="392" spans="1:13" ht="9.75">
      <c r="A392" s="282">
        <v>11230</v>
      </c>
      <c r="B392" s="283" t="s">
        <v>163</v>
      </c>
      <c r="C392" s="283"/>
      <c r="D392" s="283"/>
      <c r="E392" s="283"/>
      <c r="F392" s="284" t="s">
        <v>109</v>
      </c>
      <c r="G392" s="284">
        <v>0</v>
      </c>
      <c r="H392" s="284">
        <v>161</v>
      </c>
      <c r="I392" s="284">
        <v>1212</v>
      </c>
      <c r="J392" s="284">
        <v>25</v>
      </c>
      <c r="K392" s="284">
        <v>1398</v>
      </c>
      <c r="L392" s="545"/>
      <c r="M392" s="546"/>
    </row>
    <row r="393" spans="1:13" ht="9.75">
      <c r="A393" s="282">
        <v>11230</v>
      </c>
      <c r="B393" s="283" t="s">
        <v>163</v>
      </c>
      <c r="C393" s="283"/>
      <c r="D393" s="283"/>
      <c r="E393" s="283"/>
      <c r="F393" s="284" t="s">
        <v>110</v>
      </c>
      <c r="G393" s="284">
        <v>0</v>
      </c>
      <c r="H393" s="284">
        <v>0</v>
      </c>
      <c r="I393" s="284">
        <v>0</v>
      </c>
      <c r="J393" s="284">
        <v>0</v>
      </c>
      <c r="K393" s="284">
        <v>0</v>
      </c>
      <c r="L393" s="545"/>
      <c r="M393" s="546"/>
    </row>
    <row r="394" spans="1:13" ht="9.75">
      <c r="A394" s="282">
        <v>11230</v>
      </c>
      <c r="B394" s="283" t="s">
        <v>163</v>
      </c>
      <c r="C394" s="283"/>
      <c r="D394" s="283"/>
      <c r="E394" s="283"/>
      <c r="F394" s="284" t="s">
        <v>113</v>
      </c>
      <c r="G394" s="284">
        <v>0</v>
      </c>
      <c r="H394" s="284">
        <v>0</v>
      </c>
      <c r="I394" s="284">
        <v>0</v>
      </c>
      <c r="J394" s="284">
        <v>0</v>
      </c>
      <c r="K394" s="284">
        <v>0</v>
      </c>
      <c r="L394" s="545"/>
      <c r="M394" s="546"/>
    </row>
    <row r="395" spans="1:13" ht="9.75">
      <c r="A395" s="282">
        <v>11230</v>
      </c>
      <c r="B395" s="283" t="s">
        <v>163</v>
      </c>
      <c r="C395" s="283"/>
      <c r="D395" s="283"/>
      <c r="E395" s="283"/>
      <c r="F395" s="284" t="s">
        <v>116</v>
      </c>
      <c r="G395" s="284">
        <v>0</v>
      </c>
      <c r="H395" s="284">
        <v>7</v>
      </c>
      <c r="I395" s="284">
        <v>551</v>
      </c>
      <c r="J395" s="284">
        <v>2</v>
      </c>
      <c r="K395" s="284">
        <v>560</v>
      </c>
      <c r="L395" s="545"/>
      <c r="M395" s="546"/>
    </row>
    <row r="396" spans="1:13" ht="9.75">
      <c r="A396" s="282">
        <v>11230</v>
      </c>
      <c r="B396" s="283" t="s">
        <v>163</v>
      </c>
      <c r="C396" s="283"/>
      <c r="D396" s="283"/>
      <c r="E396" s="283"/>
      <c r="F396" s="284" t="s">
        <v>114</v>
      </c>
      <c r="G396" s="284">
        <v>0</v>
      </c>
      <c r="H396" s="284">
        <v>168</v>
      </c>
      <c r="I396" s="284">
        <v>774</v>
      </c>
      <c r="J396" s="284">
        <v>9</v>
      </c>
      <c r="K396" s="284">
        <v>951</v>
      </c>
      <c r="L396" s="545"/>
      <c r="M396" s="546"/>
    </row>
    <row r="397" spans="1:13" ht="9.75">
      <c r="A397" s="282">
        <v>11230</v>
      </c>
      <c r="B397" s="283" t="s">
        <v>163</v>
      </c>
      <c r="C397" s="283"/>
      <c r="D397" s="283"/>
      <c r="E397" s="283"/>
      <c r="F397" s="284" t="s">
        <v>119</v>
      </c>
      <c r="G397" s="284">
        <v>0</v>
      </c>
      <c r="H397" s="284">
        <v>1</v>
      </c>
      <c r="I397" s="284">
        <v>84</v>
      </c>
      <c r="J397" s="284">
        <v>0</v>
      </c>
      <c r="K397" s="284">
        <v>85</v>
      </c>
      <c r="L397" s="545"/>
      <c r="M397" s="546"/>
    </row>
    <row r="398" spans="1:13" ht="9.75">
      <c r="A398" s="282">
        <v>11230</v>
      </c>
      <c r="B398" s="283" t="s">
        <v>163</v>
      </c>
      <c r="C398" s="283"/>
      <c r="D398" s="283"/>
      <c r="E398" s="283"/>
      <c r="F398" s="284" t="s">
        <v>122</v>
      </c>
      <c r="G398" s="284">
        <v>0</v>
      </c>
      <c r="H398" s="284">
        <v>121</v>
      </c>
      <c r="I398" s="284">
        <v>237</v>
      </c>
      <c r="J398" s="284">
        <v>4</v>
      </c>
      <c r="K398" s="284">
        <v>362</v>
      </c>
      <c r="L398" s="545"/>
      <c r="M398" s="546"/>
    </row>
    <row r="399" spans="1:13" ht="14.25">
      <c r="A399" s="274">
        <v>11240</v>
      </c>
      <c r="B399" s="275" t="s">
        <v>271</v>
      </c>
      <c r="C399" s="275" t="s">
        <v>59</v>
      </c>
      <c r="D399" s="275" t="s">
        <v>60</v>
      </c>
      <c r="E399" s="276">
        <v>1</v>
      </c>
      <c r="F399" s="276" t="s">
        <v>132</v>
      </c>
      <c r="G399" s="276">
        <v>505</v>
      </c>
      <c r="H399" s="276">
        <v>37</v>
      </c>
      <c r="I399" s="276">
        <v>279</v>
      </c>
      <c r="J399" s="276">
        <v>11</v>
      </c>
      <c r="K399" s="276">
        <v>832</v>
      </c>
      <c r="L399" s="276">
        <v>789.5</v>
      </c>
      <c r="M399" s="277">
        <v>789.5</v>
      </c>
    </row>
    <row r="400" spans="1:13" ht="14.25">
      <c r="A400" s="278">
        <v>11240</v>
      </c>
      <c r="B400" s="279" t="s">
        <v>271</v>
      </c>
      <c r="C400" s="279" t="s">
        <v>59</v>
      </c>
      <c r="D400" s="279" t="s">
        <v>60</v>
      </c>
      <c r="E400" s="280">
        <v>1</v>
      </c>
      <c r="F400" s="280" t="s">
        <v>109</v>
      </c>
      <c r="G400" s="280">
        <v>0</v>
      </c>
      <c r="H400" s="280">
        <v>121</v>
      </c>
      <c r="I400" s="280">
        <v>444</v>
      </c>
      <c r="J400" s="280">
        <v>21</v>
      </c>
      <c r="K400" s="280">
        <v>586</v>
      </c>
      <c r="L400" s="280">
        <v>454.5</v>
      </c>
      <c r="M400" s="281">
        <v>454.5</v>
      </c>
    </row>
    <row r="401" spans="1:13" ht="14.25">
      <c r="A401" s="274">
        <v>11240</v>
      </c>
      <c r="B401" s="275" t="s">
        <v>271</v>
      </c>
      <c r="C401" s="275" t="s">
        <v>272</v>
      </c>
      <c r="D401" s="275" t="s">
        <v>273</v>
      </c>
      <c r="E401" s="276">
        <v>1.65</v>
      </c>
      <c r="F401" s="276" t="s">
        <v>116</v>
      </c>
      <c r="G401" s="276">
        <v>0</v>
      </c>
      <c r="H401" s="276">
        <v>0</v>
      </c>
      <c r="I401" s="276">
        <v>24</v>
      </c>
      <c r="J401" s="276">
        <v>0</v>
      </c>
      <c r="K401" s="276">
        <v>24</v>
      </c>
      <c r="L401" s="276">
        <v>24</v>
      </c>
      <c r="M401" s="277">
        <v>39.6</v>
      </c>
    </row>
    <row r="402" spans="1:13" ht="14.25">
      <c r="A402" s="278">
        <v>11240</v>
      </c>
      <c r="B402" s="279" t="s">
        <v>271</v>
      </c>
      <c r="C402" s="279" t="s">
        <v>272</v>
      </c>
      <c r="D402" s="279" t="s">
        <v>273</v>
      </c>
      <c r="E402" s="280">
        <v>1.65</v>
      </c>
      <c r="F402" s="280" t="s">
        <v>114</v>
      </c>
      <c r="G402" s="280">
        <v>0</v>
      </c>
      <c r="H402" s="280">
        <v>8</v>
      </c>
      <c r="I402" s="280">
        <v>33</v>
      </c>
      <c r="J402" s="280">
        <v>1</v>
      </c>
      <c r="K402" s="280">
        <v>42</v>
      </c>
      <c r="L402" s="280">
        <v>33.5</v>
      </c>
      <c r="M402" s="281">
        <v>55.28</v>
      </c>
    </row>
    <row r="403" spans="1:13" ht="14.25">
      <c r="A403" s="274">
        <v>11240</v>
      </c>
      <c r="B403" s="275" t="s">
        <v>271</v>
      </c>
      <c r="C403" s="275" t="s">
        <v>61</v>
      </c>
      <c r="D403" s="275" t="s">
        <v>62</v>
      </c>
      <c r="E403" s="276">
        <v>1</v>
      </c>
      <c r="F403" s="276" t="s">
        <v>116</v>
      </c>
      <c r="G403" s="276">
        <v>0</v>
      </c>
      <c r="H403" s="276">
        <v>0</v>
      </c>
      <c r="I403" s="276">
        <v>1</v>
      </c>
      <c r="J403" s="276">
        <v>0</v>
      </c>
      <c r="K403" s="276">
        <v>1</v>
      </c>
      <c r="L403" s="276">
        <v>1</v>
      </c>
      <c r="M403" s="277">
        <v>1</v>
      </c>
    </row>
    <row r="404" spans="1:13" ht="14.25">
      <c r="A404" s="278">
        <v>11240</v>
      </c>
      <c r="B404" s="279" t="s">
        <v>271</v>
      </c>
      <c r="C404" s="279" t="s">
        <v>61</v>
      </c>
      <c r="D404" s="279" t="s">
        <v>62</v>
      </c>
      <c r="E404" s="280">
        <v>1</v>
      </c>
      <c r="F404" s="280" t="s">
        <v>114</v>
      </c>
      <c r="G404" s="280">
        <v>0</v>
      </c>
      <c r="H404" s="280">
        <v>2</v>
      </c>
      <c r="I404" s="280">
        <v>2</v>
      </c>
      <c r="J404" s="280">
        <v>2</v>
      </c>
      <c r="K404" s="280">
        <v>6</v>
      </c>
      <c r="L404" s="280">
        <v>3</v>
      </c>
      <c r="M404" s="281">
        <v>3</v>
      </c>
    </row>
    <row r="405" spans="1:13" ht="14.25">
      <c r="A405" s="274">
        <v>11240</v>
      </c>
      <c r="B405" s="275" t="s">
        <v>271</v>
      </c>
      <c r="C405" s="275" t="s">
        <v>63</v>
      </c>
      <c r="D405" s="275" t="s">
        <v>60</v>
      </c>
      <c r="E405" s="276">
        <v>1</v>
      </c>
      <c r="F405" s="276" t="s">
        <v>116</v>
      </c>
      <c r="G405" s="276">
        <v>0</v>
      </c>
      <c r="H405" s="276">
        <v>5</v>
      </c>
      <c r="I405" s="276">
        <v>120</v>
      </c>
      <c r="J405" s="276">
        <v>0</v>
      </c>
      <c r="K405" s="276">
        <v>125</v>
      </c>
      <c r="L405" s="276">
        <v>120</v>
      </c>
      <c r="M405" s="277">
        <v>120</v>
      </c>
    </row>
    <row r="406" spans="1:13" ht="14.25">
      <c r="A406" s="278">
        <v>11240</v>
      </c>
      <c r="B406" s="279" t="s">
        <v>271</v>
      </c>
      <c r="C406" s="279" t="s">
        <v>63</v>
      </c>
      <c r="D406" s="279" t="s">
        <v>60</v>
      </c>
      <c r="E406" s="280">
        <v>1</v>
      </c>
      <c r="F406" s="280" t="s">
        <v>114</v>
      </c>
      <c r="G406" s="280">
        <v>0</v>
      </c>
      <c r="H406" s="280">
        <v>63</v>
      </c>
      <c r="I406" s="280">
        <v>172</v>
      </c>
      <c r="J406" s="280">
        <v>8</v>
      </c>
      <c r="K406" s="280">
        <v>243</v>
      </c>
      <c r="L406" s="280">
        <v>176</v>
      </c>
      <c r="M406" s="281">
        <v>176</v>
      </c>
    </row>
    <row r="407" spans="1:13" ht="14.25">
      <c r="A407" s="274">
        <v>11240</v>
      </c>
      <c r="B407" s="275" t="s">
        <v>271</v>
      </c>
      <c r="C407" s="275" t="s">
        <v>248</v>
      </c>
      <c r="D407" s="275" t="s">
        <v>230</v>
      </c>
      <c r="E407" s="276">
        <v>1</v>
      </c>
      <c r="F407" s="276" t="s">
        <v>116</v>
      </c>
      <c r="G407" s="276">
        <v>0</v>
      </c>
      <c r="H407" s="276">
        <v>3</v>
      </c>
      <c r="I407" s="276">
        <v>44</v>
      </c>
      <c r="J407" s="276">
        <v>0</v>
      </c>
      <c r="K407" s="276">
        <v>47</v>
      </c>
      <c r="L407" s="276">
        <v>44</v>
      </c>
      <c r="M407" s="277">
        <v>44</v>
      </c>
    </row>
    <row r="408" spans="1:13" ht="14.25">
      <c r="A408" s="278">
        <v>11240</v>
      </c>
      <c r="B408" s="279" t="s">
        <v>271</v>
      </c>
      <c r="C408" s="279" t="s">
        <v>248</v>
      </c>
      <c r="D408" s="279" t="s">
        <v>230</v>
      </c>
      <c r="E408" s="280">
        <v>1</v>
      </c>
      <c r="F408" s="280" t="s">
        <v>114</v>
      </c>
      <c r="G408" s="280">
        <v>0</v>
      </c>
      <c r="H408" s="280">
        <v>10</v>
      </c>
      <c r="I408" s="280">
        <v>56</v>
      </c>
      <c r="J408" s="280">
        <v>0</v>
      </c>
      <c r="K408" s="280">
        <v>66</v>
      </c>
      <c r="L408" s="280">
        <v>56</v>
      </c>
      <c r="M408" s="281">
        <v>56</v>
      </c>
    </row>
    <row r="409" spans="1:13" ht="14.25">
      <c r="A409" s="274">
        <v>11240</v>
      </c>
      <c r="B409" s="275" t="s">
        <v>271</v>
      </c>
      <c r="C409" s="275" t="s">
        <v>38</v>
      </c>
      <c r="D409" s="275" t="s">
        <v>39</v>
      </c>
      <c r="E409" s="276">
        <v>1</v>
      </c>
      <c r="F409" s="276" t="s">
        <v>116</v>
      </c>
      <c r="G409" s="276">
        <v>0</v>
      </c>
      <c r="H409" s="276">
        <v>0</v>
      </c>
      <c r="I409" s="276">
        <v>23</v>
      </c>
      <c r="J409" s="276">
        <v>1</v>
      </c>
      <c r="K409" s="276">
        <v>24</v>
      </c>
      <c r="L409" s="276">
        <v>23.5</v>
      </c>
      <c r="M409" s="277">
        <v>23.5</v>
      </c>
    </row>
    <row r="410" spans="1:13" ht="14.25">
      <c r="A410" s="278">
        <v>11240</v>
      </c>
      <c r="B410" s="279" t="s">
        <v>271</v>
      </c>
      <c r="C410" s="279" t="s">
        <v>38</v>
      </c>
      <c r="D410" s="279" t="s">
        <v>39</v>
      </c>
      <c r="E410" s="280">
        <v>1</v>
      </c>
      <c r="F410" s="280" t="s">
        <v>114</v>
      </c>
      <c r="G410" s="280">
        <v>0</v>
      </c>
      <c r="H410" s="280">
        <v>21</v>
      </c>
      <c r="I410" s="280">
        <v>36</v>
      </c>
      <c r="J410" s="280">
        <v>1</v>
      </c>
      <c r="K410" s="280">
        <v>58</v>
      </c>
      <c r="L410" s="280">
        <v>36.5</v>
      </c>
      <c r="M410" s="281">
        <v>36.5</v>
      </c>
    </row>
    <row r="411" spans="1:13" ht="14.25">
      <c r="A411" s="274">
        <v>11240</v>
      </c>
      <c r="B411" s="275" t="s">
        <v>271</v>
      </c>
      <c r="C411" s="275" t="s">
        <v>266</v>
      </c>
      <c r="D411" s="275" t="s">
        <v>265</v>
      </c>
      <c r="E411" s="276">
        <v>1.2</v>
      </c>
      <c r="F411" s="276" t="s">
        <v>116</v>
      </c>
      <c r="G411" s="276">
        <v>0</v>
      </c>
      <c r="H411" s="276">
        <v>0</v>
      </c>
      <c r="I411" s="276">
        <v>25</v>
      </c>
      <c r="J411" s="276">
        <v>0</v>
      </c>
      <c r="K411" s="276">
        <v>25</v>
      </c>
      <c r="L411" s="276">
        <v>25</v>
      </c>
      <c r="M411" s="277">
        <v>30</v>
      </c>
    </row>
    <row r="412" spans="1:13" ht="14.25">
      <c r="A412" s="278">
        <v>11240</v>
      </c>
      <c r="B412" s="279" t="s">
        <v>271</v>
      </c>
      <c r="C412" s="279" t="s">
        <v>266</v>
      </c>
      <c r="D412" s="279" t="s">
        <v>265</v>
      </c>
      <c r="E412" s="280">
        <v>1.2</v>
      </c>
      <c r="F412" s="280" t="s">
        <v>114</v>
      </c>
      <c r="G412" s="280">
        <v>0</v>
      </c>
      <c r="H412" s="280">
        <v>16</v>
      </c>
      <c r="I412" s="280">
        <v>37</v>
      </c>
      <c r="J412" s="280">
        <v>1</v>
      </c>
      <c r="K412" s="280">
        <v>54</v>
      </c>
      <c r="L412" s="280">
        <v>37.5</v>
      </c>
      <c r="M412" s="281">
        <v>45</v>
      </c>
    </row>
    <row r="413" spans="1:13" ht="14.25">
      <c r="A413" s="274">
        <v>11240</v>
      </c>
      <c r="B413" s="275" t="s">
        <v>271</v>
      </c>
      <c r="C413" s="275" t="s">
        <v>166</v>
      </c>
      <c r="D413" s="275" t="s">
        <v>167</v>
      </c>
      <c r="E413" s="276">
        <v>1.65</v>
      </c>
      <c r="F413" s="276" t="s">
        <v>122</v>
      </c>
      <c r="G413" s="276">
        <v>0</v>
      </c>
      <c r="H413" s="276">
        <v>6</v>
      </c>
      <c r="I413" s="276">
        <v>0</v>
      </c>
      <c r="J413" s="276">
        <v>0</v>
      </c>
      <c r="K413" s="276">
        <v>6</v>
      </c>
      <c r="L413" s="276">
        <v>0</v>
      </c>
      <c r="M413" s="277">
        <v>0</v>
      </c>
    </row>
    <row r="414" spans="1:13" ht="14.25">
      <c r="A414" s="278">
        <v>11240</v>
      </c>
      <c r="B414" s="279" t="s">
        <v>271</v>
      </c>
      <c r="C414" s="279" t="s">
        <v>64</v>
      </c>
      <c r="D414" s="279" t="s">
        <v>65</v>
      </c>
      <c r="E414" s="280">
        <v>1.65</v>
      </c>
      <c r="F414" s="280" t="s">
        <v>119</v>
      </c>
      <c r="G414" s="280">
        <v>0</v>
      </c>
      <c r="H414" s="280">
        <v>0</v>
      </c>
      <c r="I414" s="280">
        <v>4</v>
      </c>
      <c r="J414" s="280">
        <v>0</v>
      </c>
      <c r="K414" s="280">
        <v>4</v>
      </c>
      <c r="L414" s="280">
        <v>4</v>
      </c>
      <c r="M414" s="281">
        <v>6.6</v>
      </c>
    </row>
    <row r="415" spans="1:13" ht="14.25">
      <c r="A415" s="274">
        <v>11240</v>
      </c>
      <c r="B415" s="275" t="s">
        <v>271</v>
      </c>
      <c r="C415" s="275" t="s">
        <v>64</v>
      </c>
      <c r="D415" s="275" t="s">
        <v>65</v>
      </c>
      <c r="E415" s="276">
        <v>1.65</v>
      </c>
      <c r="F415" s="276" t="s">
        <v>122</v>
      </c>
      <c r="G415" s="276">
        <v>0</v>
      </c>
      <c r="H415" s="276">
        <v>12</v>
      </c>
      <c r="I415" s="276">
        <v>13</v>
      </c>
      <c r="J415" s="276">
        <v>0</v>
      </c>
      <c r="K415" s="276">
        <v>25</v>
      </c>
      <c r="L415" s="276">
        <v>13</v>
      </c>
      <c r="M415" s="277">
        <v>21.45</v>
      </c>
    </row>
    <row r="416" spans="1:13" ht="14.25">
      <c r="A416" s="278">
        <v>11240</v>
      </c>
      <c r="B416" s="279" t="s">
        <v>271</v>
      </c>
      <c r="C416" s="279" t="s">
        <v>66</v>
      </c>
      <c r="D416" s="279" t="s">
        <v>62</v>
      </c>
      <c r="E416" s="280">
        <v>1</v>
      </c>
      <c r="F416" s="280" t="s">
        <v>119</v>
      </c>
      <c r="G416" s="280">
        <v>0</v>
      </c>
      <c r="H416" s="280">
        <v>1</v>
      </c>
      <c r="I416" s="280">
        <v>9</v>
      </c>
      <c r="J416" s="280">
        <v>0</v>
      </c>
      <c r="K416" s="280">
        <v>10</v>
      </c>
      <c r="L416" s="280">
        <v>9</v>
      </c>
      <c r="M416" s="281">
        <v>9</v>
      </c>
    </row>
    <row r="417" spans="1:13" ht="14.25">
      <c r="A417" s="274">
        <v>11240</v>
      </c>
      <c r="B417" s="275" t="s">
        <v>271</v>
      </c>
      <c r="C417" s="275" t="s">
        <v>66</v>
      </c>
      <c r="D417" s="275" t="s">
        <v>62</v>
      </c>
      <c r="E417" s="276">
        <v>1</v>
      </c>
      <c r="F417" s="276" t="s">
        <v>122</v>
      </c>
      <c r="G417" s="276">
        <v>0</v>
      </c>
      <c r="H417" s="276">
        <v>27</v>
      </c>
      <c r="I417" s="276">
        <v>36</v>
      </c>
      <c r="J417" s="276">
        <v>2</v>
      </c>
      <c r="K417" s="276">
        <v>65</v>
      </c>
      <c r="L417" s="276">
        <v>37</v>
      </c>
      <c r="M417" s="277">
        <v>37</v>
      </c>
    </row>
    <row r="418" spans="1:13" ht="14.25">
      <c r="A418" s="278">
        <v>11240</v>
      </c>
      <c r="B418" s="279" t="s">
        <v>271</v>
      </c>
      <c r="C418" s="279" t="s">
        <v>67</v>
      </c>
      <c r="D418" s="279" t="s">
        <v>60</v>
      </c>
      <c r="E418" s="280">
        <v>1</v>
      </c>
      <c r="F418" s="280" t="s">
        <v>119</v>
      </c>
      <c r="G418" s="280">
        <v>0</v>
      </c>
      <c r="H418" s="280">
        <v>1</v>
      </c>
      <c r="I418" s="280">
        <v>22</v>
      </c>
      <c r="J418" s="280">
        <v>0</v>
      </c>
      <c r="K418" s="280">
        <v>23</v>
      </c>
      <c r="L418" s="280">
        <v>22</v>
      </c>
      <c r="M418" s="281">
        <v>22</v>
      </c>
    </row>
    <row r="419" spans="1:13" ht="14.25">
      <c r="A419" s="274">
        <v>11240</v>
      </c>
      <c r="B419" s="275" t="s">
        <v>271</v>
      </c>
      <c r="C419" s="275" t="s">
        <v>67</v>
      </c>
      <c r="D419" s="275" t="s">
        <v>60</v>
      </c>
      <c r="E419" s="276">
        <v>1</v>
      </c>
      <c r="F419" s="276" t="s">
        <v>122</v>
      </c>
      <c r="G419" s="276">
        <v>0</v>
      </c>
      <c r="H419" s="276">
        <v>63</v>
      </c>
      <c r="I419" s="276">
        <v>71</v>
      </c>
      <c r="J419" s="276">
        <v>0</v>
      </c>
      <c r="K419" s="276">
        <v>134</v>
      </c>
      <c r="L419" s="276">
        <v>71</v>
      </c>
      <c r="M419" s="277">
        <v>71</v>
      </c>
    </row>
    <row r="420" spans="1:13" ht="14.25">
      <c r="A420" s="278">
        <v>11240</v>
      </c>
      <c r="B420" s="279" t="s">
        <v>271</v>
      </c>
      <c r="C420" s="279" t="s">
        <v>586</v>
      </c>
      <c r="D420" s="279" t="s">
        <v>230</v>
      </c>
      <c r="E420" s="280">
        <v>1</v>
      </c>
      <c r="F420" s="280" t="s">
        <v>119</v>
      </c>
      <c r="G420" s="280">
        <v>0</v>
      </c>
      <c r="H420" s="280">
        <v>0</v>
      </c>
      <c r="I420" s="280">
        <v>2</v>
      </c>
      <c r="J420" s="280">
        <v>0</v>
      </c>
      <c r="K420" s="280">
        <v>2</v>
      </c>
      <c r="L420" s="280">
        <v>2</v>
      </c>
      <c r="M420" s="281">
        <v>2</v>
      </c>
    </row>
    <row r="421" spans="1:13" ht="14.25">
      <c r="A421" s="274">
        <v>11240</v>
      </c>
      <c r="B421" s="275" t="s">
        <v>271</v>
      </c>
      <c r="C421" s="275" t="s">
        <v>586</v>
      </c>
      <c r="D421" s="275" t="s">
        <v>230</v>
      </c>
      <c r="E421" s="276">
        <v>1</v>
      </c>
      <c r="F421" s="276" t="s">
        <v>122</v>
      </c>
      <c r="G421" s="276">
        <v>0</v>
      </c>
      <c r="H421" s="276">
        <v>1</v>
      </c>
      <c r="I421" s="276">
        <v>3</v>
      </c>
      <c r="J421" s="276">
        <v>0</v>
      </c>
      <c r="K421" s="276">
        <v>4</v>
      </c>
      <c r="L421" s="276">
        <v>3</v>
      </c>
      <c r="M421" s="277">
        <v>3</v>
      </c>
    </row>
    <row r="422" spans="1:13" ht="14.25">
      <c r="A422" s="278">
        <v>11240</v>
      </c>
      <c r="B422" s="279" t="s">
        <v>271</v>
      </c>
      <c r="C422" s="279" t="s">
        <v>255</v>
      </c>
      <c r="D422" s="279" t="s">
        <v>39</v>
      </c>
      <c r="E422" s="280">
        <v>1</v>
      </c>
      <c r="F422" s="280" t="s">
        <v>119</v>
      </c>
      <c r="G422" s="280">
        <v>0</v>
      </c>
      <c r="H422" s="280">
        <v>0</v>
      </c>
      <c r="I422" s="280">
        <v>5</v>
      </c>
      <c r="J422" s="280">
        <v>0</v>
      </c>
      <c r="K422" s="280">
        <v>5</v>
      </c>
      <c r="L422" s="280">
        <v>5</v>
      </c>
      <c r="M422" s="281">
        <v>5</v>
      </c>
    </row>
    <row r="423" spans="1:13" ht="14.25">
      <c r="A423" s="274">
        <v>11240</v>
      </c>
      <c r="B423" s="275" t="s">
        <v>271</v>
      </c>
      <c r="C423" s="275" t="s">
        <v>255</v>
      </c>
      <c r="D423" s="275" t="s">
        <v>39</v>
      </c>
      <c r="E423" s="276">
        <v>1</v>
      </c>
      <c r="F423" s="276" t="s">
        <v>122</v>
      </c>
      <c r="G423" s="276">
        <v>0</v>
      </c>
      <c r="H423" s="276">
        <v>1</v>
      </c>
      <c r="I423" s="276">
        <v>12</v>
      </c>
      <c r="J423" s="276">
        <v>0</v>
      </c>
      <c r="K423" s="276">
        <v>13</v>
      </c>
      <c r="L423" s="276">
        <v>12</v>
      </c>
      <c r="M423" s="277">
        <v>12</v>
      </c>
    </row>
    <row r="424" spans="1:13" ht="9.75">
      <c r="A424" s="282">
        <v>11240</v>
      </c>
      <c r="B424" s="283" t="s">
        <v>163</v>
      </c>
      <c r="C424" s="283"/>
      <c r="D424" s="283"/>
      <c r="E424" s="283"/>
      <c r="F424" s="284" t="s">
        <v>132</v>
      </c>
      <c r="G424" s="284">
        <v>505</v>
      </c>
      <c r="H424" s="284">
        <v>37</v>
      </c>
      <c r="I424" s="284">
        <v>279</v>
      </c>
      <c r="J424" s="284">
        <v>11</v>
      </c>
      <c r="K424" s="284">
        <v>832</v>
      </c>
      <c r="L424" s="545"/>
      <c r="M424" s="546"/>
    </row>
    <row r="425" spans="1:13" ht="9.75">
      <c r="A425" s="282">
        <v>11240</v>
      </c>
      <c r="B425" s="283" t="s">
        <v>163</v>
      </c>
      <c r="C425" s="283"/>
      <c r="D425" s="283"/>
      <c r="E425" s="283"/>
      <c r="F425" s="284" t="s">
        <v>109</v>
      </c>
      <c r="G425" s="284">
        <v>0</v>
      </c>
      <c r="H425" s="284">
        <v>121</v>
      </c>
      <c r="I425" s="284">
        <v>444</v>
      </c>
      <c r="J425" s="284">
        <v>21</v>
      </c>
      <c r="K425" s="284">
        <v>586</v>
      </c>
      <c r="L425" s="545"/>
      <c r="M425" s="546"/>
    </row>
    <row r="426" spans="1:13" ht="9.75">
      <c r="A426" s="282">
        <v>11240</v>
      </c>
      <c r="B426" s="283" t="s">
        <v>163</v>
      </c>
      <c r="C426" s="283"/>
      <c r="D426" s="283"/>
      <c r="E426" s="283"/>
      <c r="F426" s="284" t="s">
        <v>110</v>
      </c>
      <c r="G426" s="284">
        <v>0</v>
      </c>
      <c r="H426" s="284">
        <v>0</v>
      </c>
      <c r="I426" s="284">
        <v>0</v>
      </c>
      <c r="J426" s="284">
        <v>0</v>
      </c>
      <c r="K426" s="284">
        <v>0</v>
      </c>
      <c r="L426" s="545"/>
      <c r="M426" s="546"/>
    </row>
    <row r="427" spans="1:13" ht="9.75">
      <c r="A427" s="282">
        <v>11240</v>
      </c>
      <c r="B427" s="283" t="s">
        <v>163</v>
      </c>
      <c r="C427" s="283"/>
      <c r="D427" s="283"/>
      <c r="E427" s="283"/>
      <c r="F427" s="284" t="s">
        <v>113</v>
      </c>
      <c r="G427" s="284">
        <v>0</v>
      </c>
      <c r="H427" s="284">
        <v>0</v>
      </c>
      <c r="I427" s="284">
        <v>0</v>
      </c>
      <c r="J427" s="284">
        <v>0</v>
      </c>
      <c r="K427" s="284">
        <v>0</v>
      </c>
      <c r="L427" s="545"/>
      <c r="M427" s="546"/>
    </row>
    <row r="428" spans="1:13" ht="9.75">
      <c r="A428" s="282">
        <v>11240</v>
      </c>
      <c r="B428" s="283" t="s">
        <v>163</v>
      </c>
      <c r="C428" s="283"/>
      <c r="D428" s="283"/>
      <c r="E428" s="283"/>
      <c r="F428" s="284" t="s">
        <v>116</v>
      </c>
      <c r="G428" s="284">
        <v>0</v>
      </c>
      <c r="H428" s="284">
        <v>8</v>
      </c>
      <c r="I428" s="284">
        <v>237</v>
      </c>
      <c r="J428" s="284">
        <v>1</v>
      </c>
      <c r="K428" s="284">
        <v>246</v>
      </c>
      <c r="L428" s="545"/>
      <c r="M428" s="546"/>
    </row>
    <row r="429" spans="1:13" ht="9.75">
      <c r="A429" s="282">
        <v>11240</v>
      </c>
      <c r="B429" s="283" t="s">
        <v>163</v>
      </c>
      <c r="C429" s="283"/>
      <c r="D429" s="283"/>
      <c r="E429" s="283"/>
      <c r="F429" s="284" t="s">
        <v>114</v>
      </c>
      <c r="G429" s="284">
        <v>0</v>
      </c>
      <c r="H429" s="284">
        <v>120</v>
      </c>
      <c r="I429" s="284">
        <v>336</v>
      </c>
      <c r="J429" s="284">
        <v>13</v>
      </c>
      <c r="K429" s="284">
        <v>469</v>
      </c>
      <c r="L429" s="545"/>
      <c r="M429" s="546"/>
    </row>
    <row r="430" spans="1:13" ht="9.75">
      <c r="A430" s="282">
        <v>11240</v>
      </c>
      <c r="B430" s="283" t="s">
        <v>163</v>
      </c>
      <c r="C430" s="283"/>
      <c r="D430" s="283"/>
      <c r="E430" s="283"/>
      <c r="F430" s="284" t="s">
        <v>119</v>
      </c>
      <c r="G430" s="284">
        <v>0</v>
      </c>
      <c r="H430" s="284">
        <v>2</v>
      </c>
      <c r="I430" s="284">
        <v>42</v>
      </c>
      <c r="J430" s="284">
        <v>0</v>
      </c>
      <c r="K430" s="284">
        <v>44</v>
      </c>
      <c r="L430" s="545"/>
      <c r="M430" s="546"/>
    </row>
    <row r="431" spans="1:13" ht="9.75">
      <c r="A431" s="282">
        <v>11240</v>
      </c>
      <c r="B431" s="283" t="s">
        <v>163</v>
      </c>
      <c r="C431" s="283"/>
      <c r="D431" s="283"/>
      <c r="E431" s="283"/>
      <c r="F431" s="284" t="s">
        <v>122</v>
      </c>
      <c r="G431" s="284">
        <v>0</v>
      </c>
      <c r="H431" s="284">
        <v>110</v>
      </c>
      <c r="I431" s="284">
        <v>135</v>
      </c>
      <c r="J431" s="284">
        <v>2</v>
      </c>
      <c r="K431" s="284">
        <v>247</v>
      </c>
      <c r="L431" s="545"/>
      <c r="M431" s="546"/>
    </row>
    <row r="432" spans="1:13" ht="14.25">
      <c r="A432" s="278">
        <v>11260</v>
      </c>
      <c r="B432" s="279" t="s">
        <v>274</v>
      </c>
      <c r="C432" s="279" t="s">
        <v>69</v>
      </c>
      <c r="D432" s="279" t="s">
        <v>70</v>
      </c>
      <c r="E432" s="280">
        <v>1</v>
      </c>
      <c r="F432" s="280" t="s">
        <v>132</v>
      </c>
      <c r="G432" s="280">
        <v>16</v>
      </c>
      <c r="H432" s="280">
        <v>3</v>
      </c>
      <c r="I432" s="280">
        <v>20</v>
      </c>
      <c r="J432" s="280">
        <v>0</v>
      </c>
      <c r="K432" s="280">
        <v>39</v>
      </c>
      <c r="L432" s="280">
        <v>36</v>
      </c>
      <c r="M432" s="281">
        <v>36</v>
      </c>
    </row>
    <row r="433" spans="1:13" ht="14.25">
      <c r="A433" s="274">
        <v>11260</v>
      </c>
      <c r="B433" s="275" t="s">
        <v>274</v>
      </c>
      <c r="C433" s="275" t="s">
        <v>69</v>
      </c>
      <c r="D433" s="275" t="s">
        <v>70</v>
      </c>
      <c r="E433" s="276">
        <v>1</v>
      </c>
      <c r="F433" s="276" t="s">
        <v>109</v>
      </c>
      <c r="G433" s="276">
        <v>0</v>
      </c>
      <c r="H433" s="276">
        <v>34</v>
      </c>
      <c r="I433" s="276">
        <v>88</v>
      </c>
      <c r="J433" s="276">
        <v>2</v>
      </c>
      <c r="K433" s="276">
        <v>124</v>
      </c>
      <c r="L433" s="276">
        <v>89</v>
      </c>
      <c r="M433" s="277">
        <v>89</v>
      </c>
    </row>
    <row r="434" spans="1:13" ht="14.25">
      <c r="A434" s="278">
        <v>11260</v>
      </c>
      <c r="B434" s="279" t="s">
        <v>274</v>
      </c>
      <c r="C434" s="279" t="s">
        <v>231</v>
      </c>
      <c r="D434" s="279" t="s">
        <v>39</v>
      </c>
      <c r="E434" s="280">
        <v>1</v>
      </c>
      <c r="F434" s="280" t="s">
        <v>132</v>
      </c>
      <c r="G434" s="280">
        <v>6</v>
      </c>
      <c r="H434" s="280">
        <v>1</v>
      </c>
      <c r="I434" s="280">
        <v>9</v>
      </c>
      <c r="J434" s="280">
        <v>0</v>
      </c>
      <c r="K434" s="280">
        <v>16</v>
      </c>
      <c r="L434" s="280">
        <v>15</v>
      </c>
      <c r="M434" s="281">
        <v>15</v>
      </c>
    </row>
    <row r="435" spans="1:13" ht="14.25">
      <c r="A435" s="274">
        <v>11260</v>
      </c>
      <c r="B435" s="275" t="s">
        <v>274</v>
      </c>
      <c r="C435" s="275" t="s">
        <v>231</v>
      </c>
      <c r="D435" s="275" t="s">
        <v>39</v>
      </c>
      <c r="E435" s="276">
        <v>1</v>
      </c>
      <c r="F435" s="276" t="s">
        <v>109</v>
      </c>
      <c r="G435" s="276">
        <v>0</v>
      </c>
      <c r="H435" s="276">
        <v>6</v>
      </c>
      <c r="I435" s="276">
        <v>47</v>
      </c>
      <c r="J435" s="276">
        <v>0</v>
      </c>
      <c r="K435" s="276">
        <v>53</v>
      </c>
      <c r="L435" s="276">
        <v>47</v>
      </c>
      <c r="M435" s="277">
        <v>47</v>
      </c>
    </row>
    <row r="436" spans="1:13" ht="14.25">
      <c r="A436" s="278">
        <v>11260</v>
      </c>
      <c r="B436" s="279" t="s">
        <v>274</v>
      </c>
      <c r="C436" s="279" t="s">
        <v>243</v>
      </c>
      <c r="D436" s="279" t="s">
        <v>244</v>
      </c>
      <c r="E436" s="280">
        <v>1</v>
      </c>
      <c r="F436" s="280" t="s">
        <v>132</v>
      </c>
      <c r="G436" s="280">
        <v>18</v>
      </c>
      <c r="H436" s="280">
        <v>1</v>
      </c>
      <c r="I436" s="280">
        <v>7</v>
      </c>
      <c r="J436" s="280">
        <v>1</v>
      </c>
      <c r="K436" s="280">
        <v>27</v>
      </c>
      <c r="L436" s="280">
        <v>25.5</v>
      </c>
      <c r="M436" s="281">
        <v>25.5</v>
      </c>
    </row>
    <row r="437" spans="1:13" ht="14.25">
      <c r="A437" s="274">
        <v>11260</v>
      </c>
      <c r="B437" s="275" t="s">
        <v>274</v>
      </c>
      <c r="C437" s="275" t="s">
        <v>243</v>
      </c>
      <c r="D437" s="275" t="s">
        <v>244</v>
      </c>
      <c r="E437" s="276">
        <v>1</v>
      </c>
      <c r="F437" s="276" t="s">
        <v>109</v>
      </c>
      <c r="G437" s="276">
        <v>0</v>
      </c>
      <c r="H437" s="276">
        <v>11</v>
      </c>
      <c r="I437" s="276">
        <v>55</v>
      </c>
      <c r="J437" s="276">
        <v>3</v>
      </c>
      <c r="K437" s="276">
        <v>69</v>
      </c>
      <c r="L437" s="276">
        <v>56.5</v>
      </c>
      <c r="M437" s="277">
        <v>56.5</v>
      </c>
    </row>
    <row r="438" spans="1:13" ht="14.25">
      <c r="A438" s="278">
        <v>11260</v>
      </c>
      <c r="B438" s="279" t="s">
        <v>274</v>
      </c>
      <c r="C438" s="279" t="s">
        <v>275</v>
      </c>
      <c r="D438" s="279" t="s">
        <v>70</v>
      </c>
      <c r="E438" s="280">
        <v>1</v>
      </c>
      <c r="F438" s="280" t="s">
        <v>110</v>
      </c>
      <c r="G438" s="280">
        <v>4</v>
      </c>
      <c r="H438" s="280">
        <v>0</v>
      </c>
      <c r="I438" s="280">
        <v>3</v>
      </c>
      <c r="J438" s="280">
        <v>0</v>
      </c>
      <c r="K438" s="280">
        <v>7</v>
      </c>
      <c r="L438" s="280">
        <v>7</v>
      </c>
      <c r="M438" s="281">
        <v>7</v>
      </c>
    </row>
    <row r="439" spans="1:13" ht="14.25">
      <c r="A439" s="274">
        <v>11260</v>
      </c>
      <c r="B439" s="275" t="s">
        <v>274</v>
      </c>
      <c r="C439" s="275" t="s">
        <v>275</v>
      </c>
      <c r="D439" s="275" t="s">
        <v>70</v>
      </c>
      <c r="E439" s="276">
        <v>1</v>
      </c>
      <c r="F439" s="276" t="s">
        <v>113</v>
      </c>
      <c r="G439" s="276">
        <v>0</v>
      </c>
      <c r="H439" s="276">
        <v>4</v>
      </c>
      <c r="I439" s="276">
        <v>37</v>
      </c>
      <c r="J439" s="276">
        <v>2</v>
      </c>
      <c r="K439" s="276">
        <v>43</v>
      </c>
      <c r="L439" s="276">
        <v>38</v>
      </c>
      <c r="M439" s="277">
        <v>38</v>
      </c>
    </row>
    <row r="440" spans="1:13" ht="14.25">
      <c r="A440" s="278">
        <v>11260</v>
      </c>
      <c r="B440" s="279" t="s">
        <v>274</v>
      </c>
      <c r="C440" s="279" t="s">
        <v>63</v>
      </c>
      <c r="D440" s="279" t="s">
        <v>60</v>
      </c>
      <c r="E440" s="280">
        <v>1</v>
      </c>
      <c r="F440" s="280" t="s">
        <v>116</v>
      </c>
      <c r="G440" s="280">
        <v>0</v>
      </c>
      <c r="H440" s="280">
        <v>0</v>
      </c>
      <c r="I440" s="280">
        <v>19</v>
      </c>
      <c r="J440" s="280">
        <v>0</v>
      </c>
      <c r="K440" s="280">
        <v>19</v>
      </c>
      <c r="L440" s="280">
        <v>19</v>
      </c>
      <c r="M440" s="281">
        <v>19</v>
      </c>
    </row>
    <row r="441" spans="1:13" ht="14.25">
      <c r="A441" s="274">
        <v>11260</v>
      </c>
      <c r="B441" s="275" t="s">
        <v>274</v>
      </c>
      <c r="C441" s="275" t="s">
        <v>63</v>
      </c>
      <c r="D441" s="275" t="s">
        <v>60</v>
      </c>
      <c r="E441" s="276">
        <v>1</v>
      </c>
      <c r="F441" s="276" t="s">
        <v>114</v>
      </c>
      <c r="G441" s="276">
        <v>0</v>
      </c>
      <c r="H441" s="276">
        <v>11</v>
      </c>
      <c r="I441" s="276">
        <v>27</v>
      </c>
      <c r="J441" s="276">
        <v>0</v>
      </c>
      <c r="K441" s="276">
        <v>38</v>
      </c>
      <c r="L441" s="276">
        <v>27</v>
      </c>
      <c r="M441" s="277">
        <v>27</v>
      </c>
    </row>
    <row r="442" spans="1:13" ht="14.25">
      <c r="A442" s="278">
        <v>11260</v>
      </c>
      <c r="B442" s="279" t="s">
        <v>274</v>
      </c>
      <c r="C442" s="279" t="s">
        <v>276</v>
      </c>
      <c r="D442" s="279" t="s">
        <v>70</v>
      </c>
      <c r="E442" s="280">
        <v>1</v>
      </c>
      <c r="F442" s="280" t="s">
        <v>116</v>
      </c>
      <c r="G442" s="280">
        <v>0</v>
      </c>
      <c r="H442" s="280">
        <v>2</v>
      </c>
      <c r="I442" s="280">
        <v>19</v>
      </c>
      <c r="J442" s="280">
        <v>1</v>
      </c>
      <c r="K442" s="280">
        <v>22</v>
      </c>
      <c r="L442" s="280">
        <v>19.5</v>
      </c>
      <c r="M442" s="281">
        <v>19.5</v>
      </c>
    </row>
    <row r="443" spans="1:13" ht="14.25">
      <c r="A443" s="274">
        <v>11260</v>
      </c>
      <c r="B443" s="275" t="s">
        <v>274</v>
      </c>
      <c r="C443" s="275" t="s">
        <v>276</v>
      </c>
      <c r="D443" s="275" t="s">
        <v>70</v>
      </c>
      <c r="E443" s="276">
        <v>1</v>
      </c>
      <c r="F443" s="276" t="s">
        <v>114</v>
      </c>
      <c r="G443" s="276">
        <v>0</v>
      </c>
      <c r="H443" s="276">
        <v>7</v>
      </c>
      <c r="I443" s="276">
        <v>22</v>
      </c>
      <c r="J443" s="276">
        <v>0</v>
      </c>
      <c r="K443" s="276">
        <v>29</v>
      </c>
      <c r="L443" s="276">
        <v>22</v>
      </c>
      <c r="M443" s="277">
        <v>22</v>
      </c>
    </row>
    <row r="444" spans="1:13" ht="14.25">
      <c r="A444" s="278">
        <v>11260</v>
      </c>
      <c r="B444" s="279" t="s">
        <v>274</v>
      </c>
      <c r="C444" s="279" t="s">
        <v>38</v>
      </c>
      <c r="D444" s="279" t="s">
        <v>39</v>
      </c>
      <c r="E444" s="280">
        <v>1</v>
      </c>
      <c r="F444" s="280" t="s">
        <v>116</v>
      </c>
      <c r="G444" s="280">
        <v>0</v>
      </c>
      <c r="H444" s="280">
        <v>0</v>
      </c>
      <c r="I444" s="280">
        <v>10</v>
      </c>
      <c r="J444" s="280">
        <v>0</v>
      </c>
      <c r="K444" s="280">
        <v>10</v>
      </c>
      <c r="L444" s="280">
        <v>10</v>
      </c>
      <c r="M444" s="281">
        <v>10</v>
      </c>
    </row>
    <row r="445" spans="1:13" ht="14.25">
      <c r="A445" s="274">
        <v>11260</v>
      </c>
      <c r="B445" s="275" t="s">
        <v>274</v>
      </c>
      <c r="C445" s="275" t="s">
        <v>38</v>
      </c>
      <c r="D445" s="275" t="s">
        <v>39</v>
      </c>
      <c r="E445" s="276">
        <v>1</v>
      </c>
      <c r="F445" s="276" t="s">
        <v>114</v>
      </c>
      <c r="G445" s="276">
        <v>0</v>
      </c>
      <c r="H445" s="276">
        <v>4</v>
      </c>
      <c r="I445" s="276">
        <v>26</v>
      </c>
      <c r="J445" s="276">
        <v>0</v>
      </c>
      <c r="K445" s="276">
        <v>30</v>
      </c>
      <c r="L445" s="276">
        <v>26</v>
      </c>
      <c r="M445" s="277">
        <v>26</v>
      </c>
    </row>
    <row r="446" spans="1:13" ht="14.25">
      <c r="A446" s="278">
        <v>11260</v>
      </c>
      <c r="B446" s="279" t="s">
        <v>274</v>
      </c>
      <c r="C446" s="279" t="s">
        <v>253</v>
      </c>
      <c r="D446" s="279" t="s">
        <v>244</v>
      </c>
      <c r="E446" s="280">
        <v>1</v>
      </c>
      <c r="F446" s="280" t="s">
        <v>116</v>
      </c>
      <c r="G446" s="280">
        <v>0</v>
      </c>
      <c r="H446" s="280">
        <v>1</v>
      </c>
      <c r="I446" s="280">
        <v>18</v>
      </c>
      <c r="J446" s="280">
        <v>0</v>
      </c>
      <c r="K446" s="280">
        <v>19</v>
      </c>
      <c r="L446" s="280">
        <v>18</v>
      </c>
      <c r="M446" s="281">
        <v>18</v>
      </c>
    </row>
    <row r="447" spans="1:13" ht="14.25">
      <c r="A447" s="274">
        <v>11260</v>
      </c>
      <c r="B447" s="275" t="s">
        <v>274</v>
      </c>
      <c r="C447" s="275" t="s">
        <v>253</v>
      </c>
      <c r="D447" s="275" t="s">
        <v>244</v>
      </c>
      <c r="E447" s="276">
        <v>1</v>
      </c>
      <c r="F447" s="276" t="s">
        <v>114</v>
      </c>
      <c r="G447" s="276">
        <v>0</v>
      </c>
      <c r="H447" s="276">
        <v>4</v>
      </c>
      <c r="I447" s="276">
        <v>37</v>
      </c>
      <c r="J447" s="276">
        <v>1</v>
      </c>
      <c r="K447" s="276">
        <v>42</v>
      </c>
      <c r="L447" s="276">
        <v>37.5</v>
      </c>
      <c r="M447" s="277">
        <v>37.5</v>
      </c>
    </row>
    <row r="448" spans="1:13" ht="14.25">
      <c r="A448" s="278">
        <v>11260</v>
      </c>
      <c r="B448" s="279" t="s">
        <v>274</v>
      </c>
      <c r="C448" s="279" t="s">
        <v>71</v>
      </c>
      <c r="D448" s="279" t="s">
        <v>70</v>
      </c>
      <c r="E448" s="280">
        <v>1</v>
      </c>
      <c r="F448" s="280" t="s">
        <v>119</v>
      </c>
      <c r="G448" s="280">
        <v>0</v>
      </c>
      <c r="H448" s="280">
        <v>0</v>
      </c>
      <c r="I448" s="280">
        <v>2</v>
      </c>
      <c r="J448" s="280">
        <v>0</v>
      </c>
      <c r="K448" s="280">
        <v>2</v>
      </c>
      <c r="L448" s="280">
        <v>2</v>
      </c>
      <c r="M448" s="281">
        <v>2</v>
      </c>
    </row>
    <row r="449" spans="1:13" ht="14.25">
      <c r="A449" s="274">
        <v>11260</v>
      </c>
      <c r="B449" s="275" t="s">
        <v>274</v>
      </c>
      <c r="C449" s="275" t="s">
        <v>71</v>
      </c>
      <c r="D449" s="275" t="s">
        <v>70</v>
      </c>
      <c r="E449" s="276">
        <v>1</v>
      </c>
      <c r="F449" s="276" t="s">
        <v>122</v>
      </c>
      <c r="G449" s="276">
        <v>0</v>
      </c>
      <c r="H449" s="276">
        <v>3</v>
      </c>
      <c r="I449" s="276">
        <v>8</v>
      </c>
      <c r="J449" s="276">
        <v>0</v>
      </c>
      <c r="K449" s="276">
        <v>11</v>
      </c>
      <c r="L449" s="276">
        <v>8</v>
      </c>
      <c r="M449" s="277">
        <v>8</v>
      </c>
    </row>
    <row r="450" spans="1:13" ht="14.25">
      <c r="A450" s="278">
        <v>11260</v>
      </c>
      <c r="B450" s="279" t="s">
        <v>274</v>
      </c>
      <c r="C450" s="279" t="s">
        <v>255</v>
      </c>
      <c r="D450" s="279" t="s">
        <v>39</v>
      </c>
      <c r="E450" s="280">
        <v>1</v>
      </c>
      <c r="F450" s="280" t="s">
        <v>119</v>
      </c>
      <c r="G450" s="280">
        <v>0</v>
      </c>
      <c r="H450" s="280">
        <v>0</v>
      </c>
      <c r="I450" s="280">
        <v>9</v>
      </c>
      <c r="J450" s="280">
        <v>0</v>
      </c>
      <c r="K450" s="280">
        <v>9</v>
      </c>
      <c r="L450" s="280">
        <v>9</v>
      </c>
      <c r="M450" s="281">
        <v>9</v>
      </c>
    </row>
    <row r="451" spans="1:13" ht="14.25">
      <c r="A451" s="274">
        <v>11260</v>
      </c>
      <c r="B451" s="275" t="s">
        <v>274</v>
      </c>
      <c r="C451" s="275" t="s">
        <v>255</v>
      </c>
      <c r="D451" s="275" t="s">
        <v>39</v>
      </c>
      <c r="E451" s="276">
        <v>1</v>
      </c>
      <c r="F451" s="276" t="s">
        <v>122</v>
      </c>
      <c r="G451" s="276">
        <v>0</v>
      </c>
      <c r="H451" s="276">
        <v>3</v>
      </c>
      <c r="I451" s="276">
        <v>17</v>
      </c>
      <c r="J451" s="276">
        <v>0</v>
      </c>
      <c r="K451" s="276">
        <v>20</v>
      </c>
      <c r="L451" s="276">
        <v>17</v>
      </c>
      <c r="M451" s="277">
        <v>17</v>
      </c>
    </row>
    <row r="452" spans="1:13" ht="14.25">
      <c r="A452" s="278">
        <v>11260</v>
      </c>
      <c r="B452" s="279" t="s">
        <v>274</v>
      </c>
      <c r="C452" s="279" t="s">
        <v>258</v>
      </c>
      <c r="D452" s="279" t="s">
        <v>244</v>
      </c>
      <c r="E452" s="280">
        <v>1</v>
      </c>
      <c r="F452" s="280" t="s">
        <v>119</v>
      </c>
      <c r="G452" s="280">
        <v>0</v>
      </c>
      <c r="H452" s="280">
        <v>2</v>
      </c>
      <c r="I452" s="280">
        <v>8</v>
      </c>
      <c r="J452" s="280">
        <v>0</v>
      </c>
      <c r="K452" s="280">
        <v>10</v>
      </c>
      <c r="L452" s="280">
        <v>8</v>
      </c>
      <c r="M452" s="281">
        <v>8</v>
      </c>
    </row>
    <row r="453" spans="1:13" ht="14.25">
      <c r="A453" s="274">
        <v>11260</v>
      </c>
      <c r="B453" s="275" t="s">
        <v>274</v>
      </c>
      <c r="C453" s="275" t="s">
        <v>258</v>
      </c>
      <c r="D453" s="275" t="s">
        <v>244</v>
      </c>
      <c r="E453" s="276">
        <v>1</v>
      </c>
      <c r="F453" s="276" t="s">
        <v>122</v>
      </c>
      <c r="G453" s="276">
        <v>0</v>
      </c>
      <c r="H453" s="276">
        <v>18</v>
      </c>
      <c r="I453" s="276">
        <v>9</v>
      </c>
      <c r="J453" s="276">
        <v>0</v>
      </c>
      <c r="K453" s="276">
        <v>27</v>
      </c>
      <c r="L453" s="276">
        <v>9</v>
      </c>
      <c r="M453" s="277">
        <v>9</v>
      </c>
    </row>
    <row r="454" spans="1:13" ht="9.75">
      <c r="A454" s="282">
        <v>11260</v>
      </c>
      <c r="B454" s="283" t="s">
        <v>163</v>
      </c>
      <c r="C454" s="283"/>
      <c r="D454" s="283"/>
      <c r="E454" s="283"/>
      <c r="F454" s="284" t="s">
        <v>132</v>
      </c>
      <c r="G454" s="284">
        <v>40</v>
      </c>
      <c r="H454" s="284">
        <v>5</v>
      </c>
      <c r="I454" s="284">
        <v>36</v>
      </c>
      <c r="J454" s="284">
        <v>1</v>
      </c>
      <c r="K454" s="284">
        <v>82</v>
      </c>
      <c r="L454" s="545"/>
      <c r="M454" s="546"/>
    </row>
    <row r="455" spans="1:13" ht="9.75">
      <c r="A455" s="282">
        <v>11260</v>
      </c>
      <c r="B455" s="283" t="s">
        <v>163</v>
      </c>
      <c r="C455" s="283"/>
      <c r="D455" s="283"/>
      <c r="E455" s="283"/>
      <c r="F455" s="284" t="s">
        <v>109</v>
      </c>
      <c r="G455" s="284">
        <v>0</v>
      </c>
      <c r="H455" s="284">
        <v>51</v>
      </c>
      <c r="I455" s="284">
        <v>190</v>
      </c>
      <c r="J455" s="284">
        <v>5</v>
      </c>
      <c r="K455" s="284">
        <v>246</v>
      </c>
      <c r="L455" s="545"/>
      <c r="M455" s="546"/>
    </row>
    <row r="456" spans="1:13" ht="9.75">
      <c r="A456" s="282">
        <v>11260</v>
      </c>
      <c r="B456" s="283" t="s">
        <v>163</v>
      </c>
      <c r="C456" s="283"/>
      <c r="D456" s="283"/>
      <c r="E456" s="283"/>
      <c r="F456" s="284" t="s">
        <v>110</v>
      </c>
      <c r="G456" s="284">
        <v>4</v>
      </c>
      <c r="H456" s="284">
        <v>0</v>
      </c>
      <c r="I456" s="284">
        <v>3</v>
      </c>
      <c r="J456" s="284">
        <v>0</v>
      </c>
      <c r="K456" s="284">
        <v>7</v>
      </c>
      <c r="L456" s="545"/>
      <c r="M456" s="546"/>
    </row>
    <row r="457" spans="1:13" ht="9.75">
      <c r="A457" s="282">
        <v>11260</v>
      </c>
      <c r="B457" s="283" t="s">
        <v>163</v>
      </c>
      <c r="C457" s="283"/>
      <c r="D457" s="283"/>
      <c r="E457" s="283"/>
      <c r="F457" s="284" t="s">
        <v>113</v>
      </c>
      <c r="G457" s="284">
        <v>0</v>
      </c>
      <c r="H457" s="284">
        <v>4</v>
      </c>
      <c r="I457" s="284">
        <v>37</v>
      </c>
      <c r="J457" s="284">
        <v>2</v>
      </c>
      <c r="K457" s="284">
        <v>43</v>
      </c>
      <c r="L457" s="545"/>
      <c r="M457" s="546"/>
    </row>
    <row r="458" spans="1:13" ht="9.75">
      <c r="A458" s="282">
        <v>11260</v>
      </c>
      <c r="B458" s="283" t="s">
        <v>163</v>
      </c>
      <c r="C458" s="283"/>
      <c r="D458" s="283"/>
      <c r="E458" s="283"/>
      <c r="F458" s="284" t="s">
        <v>116</v>
      </c>
      <c r="G458" s="284">
        <v>0</v>
      </c>
      <c r="H458" s="284">
        <v>3</v>
      </c>
      <c r="I458" s="284">
        <v>66</v>
      </c>
      <c r="J458" s="284">
        <v>1</v>
      </c>
      <c r="K458" s="284">
        <v>70</v>
      </c>
      <c r="L458" s="545"/>
      <c r="M458" s="546"/>
    </row>
    <row r="459" spans="1:13" ht="9.75">
      <c r="A459" s="282">
        <v>11260</v>
      </c>
      <c r="B459" s="283" t="s">
        <v>163</v>
      </c>
      <c r="C459" s="283"/>
      <c r="D459" s="283"/>
      <c r="E459" s="283"/>
      <c r="F459" s="284" t="s">
        <v>114</v>
      </c>
      <c r="G459" s="284">
        <v>0</v>
      </c>
      <c r="H459" s="284">
        <v>26</v>
      </c>
      <c r="I459" s="284">
        <v>112</v>
      </c>
      <c r="J459" s="284">
        <v>1</v>
      </c>
      <c r="K459" s="284">
        <v>139</v>
      </c>
      <c r="L459" s="545"/>
      <c r="M459" s="546"/>
    </row>
    <row r="460" spans="1:13" ht="9.75">
      <c r="A460" s="282">
        <v>11260</v>
      </c>
      <c r="B460" s="283" t="s">
        <v>163</v>
      </c>
      <c r="C460" s="283"/>
      <c r="D460" s="283"/>
      <c r="E460" s="283"/>
      <c r="F460" s="284" t="s">
        <v>119</v>
      </c>
      <c r="G460" s="284">
        <v>0</v>
      </c>
      <c r="H460" s="284">
        <v>2</v>
      </c>
      <c r="I460" s="284">
        <v>19</v>
      </c>
      <c r="J460" s="284">
        <v>0</v>
      </c>
      <c r="K460" s="284">
        <v>21</v>
      </c>
      <c r="L460" s="545"/>
      <c r="M460" s="546"/>
    </row>
    <row r="461" spans="1:13" ht="9.75">
      <c r="A461" s="282">
        <v>11260</v>
      </c>
      <c r="B461" s="283" t="s">
        <v>163</v>
      </c>
      <c r="C461" s="283"/>
      <c r="D461" s="283"/>
      <c r="E461" s="283"/>
      <c r="F461" s="284" t="s">
        <v>122</v>
      </c>
      <c r="G461" s="284">
        <v>0</v>
      </c>
      <c r="H461" s="284">
        <v>24</v>
      </c>
      <c r="I461" s="284">
        <v>34</v>
      </c>
      <c r="J461" s="284">
        <v>0</v>
      </c>
      <c r="K461" s="284">
        <v>58</v>
      </c>
      <c r="L461" s="545"/>
      <c r="M461" s="546"/>
    </row>
    <row r="462" spans="1:13" ht="14.25">
      <c r="A462" s="278">
        <v>11270</v>
      </c>
      <c r="B462" s="279" t="s">
        <v>277</v>
      </c>
      <c r="C462" s="279" t="s">
        <v>69</v>
      </c>
      <c r="D462" s="279" t="s">
        <v>70</v>
      </c>
      <c r="E462" s="280">
        <v>1</v>
      </c>
      <c r="F462" s="280" t="s">
        <v>132</v>
      </c>
      <c r="G462" s="280">
        <v>11</v>
      </c>
      <c r="H462" s="280">
        <v>7</v>
      </c>
      <c r="I462" s="280">
        <v>22</v>
      </c>
      <c r="J462" s="280">
        <v>0</v>
      </c>
      <c r="K462" s="280">
        <v>40</v>
      </c>
      <c r="L462" s="280">
        <v>33</v>
      </c>
      <c r="M462" s="281">
        <v>33</v>
      </c>
    </row>
    <row r="463" spans="1:13" ht="14.25">
      <c r="A463" s="274">
        <v>11270</v>
      </c>
      <c r="B463" s="275" t="s">
        <v>277</v>
      </c>
      <c r="C463" s="275" t="s">
        <v>69</v>
      </c>
      <c r="D463" s="275" t="s">
        <v>70</v>
      </c>
      <c r="E463" s="276">
        <v>1</v>
      </c>
      <c r="F463" s="276" t="s">
        <v>109</v>
      </c>
      <c r="G463" s="276">
        <v>0</v>
      </c>
      <c r="H463" s="276">
        <v>23</v>
      </c>
      <c r="I463" s="276">
        <v>30</v>
      </c>
      <c r="J463" s="276">
        <v>4</v>
      </c>
      <c r="K463" s="276">
        <v>57</v>
      </c>
      <c r="L463" s="276">
        <v>32</v>
      </c>
      <c r="M463" s="277">
        <v>32</v>
      </c>
    </row>
    <row r="464" spans="1:13" ht="14.25">
      <c r="A464" s="278">
        <v>11270</v>
      </c>
      <c r="B464" s="279" t="s">
        <v>277</v>
      </c>
      <c r="C464" s="279" t="s">
        <v>278</v>
      </c>
      <c r="D464" s="279" t="s">
        <v>279</v>
      </c>
      <c r="E464" s="280">
        <v>1</v>
      </c>
      <c r="F464" s="280" t="s">
        <v>132</v>
      </c>
      <c r="G464" s="280">
        <v>43</v>
      </c>
      <c r="H464" s="280">
        <v>16</v>
      </c>
      <c r="I464" s="280">
        <v>37</v>
      </c>
      <c r="J464" s="280">
        <v>6</v>
      </c>
      <c r="K464" s="280">
        <v>102</v>
      </c>
      <c r="L464" s="280">
        <v>83</v>
      </c>
      <c r="M464" s="281">
        <v>83</v>
      </c>
    </row>
    <row r="465" spans="1:13" ht="14.25">
      <c r="A465" s="274">
        <v>11270</v>
      </c>
      <c r="B465" s="275" t="s">
        <v>277</v>
      </c>
      <c r="C465" s="275" t="s">
        <v>278</v>
      </c>
      <c r="D465" s="275" t="s">
        <v>279</v>
      </c>
      <c r="E465" s="276">
        <v>1</v>
      </c>
      <c r="F465" s="276" t="s">
        <v>109</v>
      </c>
      <c r="G465" s="276">
        <v>0</v>
      </c>
      <c r="H465" s="276">
        <v>56</v>
      </c>
      <c r="I465" s="276">
        <v>156</v>
      </c>
      <c r="J465" s="276">
        <v>8</v>
      </c>
      <c r="K465" s="276">
        <v>220</v>
      </c>
      <c r="L465" s="276">
        <v>160</v>
      </c>
      <c r="M465" s="277">
        <v>160</v>
      </c>
    </row>
    <row r="466" spans="1:13" ht="14.25">
      <c r="A466" s="278">
        <v>11270</v>
      </c>
      <c r="B466" s="279" t="s">
        <v>277</v>
      </c>
      <c r="C466" s="279" t="s">
        <v>275</v>
      </c>
      <c r="D466" s="279" t="s">
        <v>70</v>
      </c>
      <c r="E466" s="280">
        <v>1</v>
      </c>
      <c r="F466" s="280" t="s">
        <v>113</v>
      </c>
      <c r="G466" s="280">
        <v>0</v>
      </c>
      <c r="H466" s="280">
        <v>5</v>
      </c>
      <c r="I466" s="280">
        <v>0</v>
      </c>
      <c r="J466" s="280">
        <v>0</v>
      </c>
      <c r="K466" s="280">
        <v>5</v>
      </c>
      <c r="L466" s="280">
        <v>0</v>
      </c>
      <c r="M466" s="281">
        <v>0</v>
      </c>
    </row>
    <row r="467" spans="1:13" ht="14.25">
      <c r="A467" s="274">
        <v>11270</v>
      </c>
      <c r="B467" s="275" t="s">
        <v>277</v>
      </c>
      <c r="C467" s="275" t="s">
        <v>276</v>
      </c>
      <c r="D467" s="275" t="s">
        <v>70</v>
      </c>
      <c r="E467" s="276">
        <v>1</v>
      </c>
      <c r="F467" s="276" t="s">
        <v>116</v>
      </c>
      <c r="G467" s="276">
        <v>0</v>
      </c>
      <c r="H467" s="276">
        <v>0</v>
      </c>
      <c r="I467" s="276">
        <v>53</v>
      </c>
      <c r="J467" s="276">
        <v>0</v>
      </c>
      <c r="K467" s="276">
        <v>53</v>
      </c>
      <c r="L467" s="276">
        <v>53</v>
      </c>
      <c r="M467" s="277">
        <v>53</v>
      </c>
    </row>
    <row r="468" spans="1:13" ht="14.25">
      <c r="A468" s="278">
        <v>11270</v>
      </c>
      <c r="B468" s="279" t="s">
        <v>277</v>
      </c>
      <c r="C468" s="279" t="s">
        <v>276</v>
      </c>
      <c r="D468" s="279" t="s">
        <v>70</v>
      </c>
      <c r="E468" s="280">
        <v>1</v>
      </c>
      <c r="F468" s="280" t="s">
        <v>114</v>
      </c>
      <c r="G468" s="280">
        <v>0</v>
      </c>
      <c r="H468" s="280">
        <v>6</v>
      </c>
      <c r="I468" s="280">
        <v>39</v>
      </c>
      <c r="J468" s="280">
        <v>1</v>
      </c>
      <c r="K468" s="280">
        <v>46</v>
      </c>
      <c r="L468" s="280">
        <v>39.5</v>
      </c>
      <c r="M468" s="281">
        <v>39.5</v>
      </c>
    </row>
    <row r="469" spans="1:13" ht="14.25">
      <c r="A469" s="274">
        <v>11270</v>
      </c>
      <c r="B469" s="275" t="s">
        <v>277</v>
      </c>
      <c r="C469" s="275" t="s">
        <v>66</v>
      </c>
      <c r="D469" s="275" t="s">
        <v>62</v>
      </c>
      <c r="E469" s="276">
        <v>1</v>
      </c>
      <c r="F469" s="276" t="s">
        <v>119</v>
      </c>
      <c r="G469" s="276">
        <v>0</v>
      </c>
      <c r="H469" s="276">
        <v>1</v>
      </c>
      <c r="I469" s="276">
        <v>1</v>
      </c>
      <c r="J469" s="276">
        <v>0</v>
      </c>
      <c r="K469" s="276">
        <v>2</v>
      </c>
      <c r="L469" s="276">
        <v>1</v>
      </c>
      <c r="M469" s="277">
        <v>1</v>
      </c>
    </row>
    <row r="470" spans="1:13" ht="14.25">
      <c r="A470" s="278">
        <v>11270</v>
      </c>
      <c r="B470" s="279" t="s">
        <v>277</v>
      </c>
      <c r="C470" s="279" t="s">
        <v>66</v>
      </c>
      <c r="D470" s="279" t="s">
        <v>62</v>
      </c>
      <c r="E470" s="280">
        <v>1</v>
      </c>
      <c r="F470" s="280" t="s">
        <v>122</v>
      </c>
      <c r="G470" s="280">
        <v>0</v>
      </c>
      <c r="H470" s="280">
        <v>1</v>
      </c>
      <c r="I470" s="280">
        <v>0</v>
      </c>
      <c r="J470" s="280">
        <v>0</v>
      </c>
      <c r="K470" s="280">
        <v>1</v>
      </c>
      <c r="L470" s="280">
        <v>0</v>
      </c>
      <c r="M470" s="281">
        <v>0</v>
      </c>
    </row>
    <row r="471" spans="1:13" ht="14.25">
      <c r="A471" s="274">
        <v>11270</v>
      </c>
      <c r="B471" s="275" t="s">
        <v>277</v>
      </c>
      <c r="C471" s="275" t="s">
        <v>71</v>
      </c>
      <c r="D471" s="275" t="s">
        <v>70</v>
      </c>
      <c r="E471" s="276">
        <v>1</v>
      </c>
      <c r="F471" s="276" t="s">
        <v>119</v>
      </c>
      <c r="G471" s="276">
        <v>0</v>
      </c>
      <c r="H471" s="276">
        <v>0</v>
      </c>
      <c r="I471" s="276">
        <v>2</v>
      </c>
      <c r="J471" s="276">
        <v>0</v>
      </c>
      <c r="K471" s="276">
        <v>2</v>
      </c>
      <c r="L471" s="276">
        <v>2</v>
      </c>
      <c r="M471" s="277">
        <v>2</v>
      </c>
    </row>
    <row r="472" spans="1:13" ht="14.25">
      <c r="A472" s="278">
        <v>11270</v>
      </c>
      <c r="B472" s="279" t="s">
        <v>277</v>
      </c>
      <c r="C472" s="279" t="s">
        <v>71</v>
      </c>
      <c r="D472" s="279" t="s">
        <v>70</v>
      </c>
      <c r="E472" s="280">
        <v>1</v>
      </c>
      <c r="F472" s="280" t="s">
        <v>122</v>
      </c>
      <c r="G472" s="280">
        <v>0</v>
      </c>
      <c r="H472" s="280">
        <v>19</v>
      </c>
      <c r="I472" s="280">
        <v>21</v>
      </c>
      <c r="J472" s="280">
        <v>1</v>
      </c>
      <c r="K472" s="280">
        <v>41</v>
      </c>
      <c r="L472" s="280">
        <v>21.5</v>
      </c>
      <c r="M472" s="281">
        <v>21.5</v>
      </c>
    </row>
    <row r="473" spans="1:13" ht="9.75">
      <c r="A473" s="282">
        <v>11270</v>
      </c>
      <c r="B473" s="283" t="s">
        <v>163</v>
      </c>
      <c r="C473" s="283"/>
      <c r="D473" s="283"/>
      <c r="E473" s="283"/>
      <c r="F473" s="284" t="s">
        <v>132</v>
      </c>
      <c r="G473" s="284">
        <v>54</v>
      </c>
      <c r="H473" s="284">
        <v>23</v>
      </c>
      <c r="I473" s="284">
        <v>59</v>
      </c>
      <c r="J473" s="284">
        <v>6</v>
      </c>
      <c r="K473" s="284">
        <v>142</v>
      </c>
      <c r="L473" s="545"/>
      <c r="M473" s="546"/>
    </row>
    <row r="474" spans="1:13" ht="9.75">
      <c r="A474" s="282">
        <v>11270</v>
      </c>
      <c r="B474" s="283" t="s">
        <v>163</v>
      </c>
      <c r="C474" s="283"/>
      <c r="D474" s="283"/>
      <c r="E474" s="283"/>
      <c r="F474" s="284" t="s">
        <v>109</v>
      </c>
      <c r="G474" s="284">
        <v>0</v>
      </c>
      <c r="H474" s="284">
        <v>79</v>
      </c>
      <c r="I474" s="284">
        <v>186</v>
      </c>
      <c r="J474" s="284">
        <v>12</v>
      </c>
      <c r="K474" s="284">
        <v>277</v>
      </c>
      <c r="L474" s="545"/>
      <c r="M474" s="546"/>
    </row>
    <row r="475" spans="1:13" ht="9.75">
      <c r="A475" s="282">
        <v>11270</v>
      </c>
      <c r="B475" s="283" t="s">
        <v>163</v>
      </c>
      <c r="C475" s="283"/>
      <c r="D475" s="283"/>
      <c r="E475" s="283"/>
      <c r="F475" s="284" t="s">
        <v>110</v>
      </c>
      <c r="G475" s="284">
        <v>0</v>
      </c>
      <c r="H475" s="284">
        <v>0</v>
      </c>
      <c r="I475" s="284">
        <v>0</v>
      </c>
      <c r="J475" s="284">
        <v>0</v>
      </c>
      <c r="K475" s="284">
        <v>0</v>
      </c>
      <c r="L475" s="545"/>
      <c r="M475" s="546"/>
    </row>
    <row r="476" spans="1:13" ht="9.75">
      <c r="A476" s="282">
        <v>11270</v>
      </c>
      <c r="B476" s="283" t="s">
        <v>163</v>
      </c>
      <c r="C476" s="283"/>
      <c r="D476" s="283"/>
      <c r="E476" s="283"/>
      <c r="F476" s="284" t="s">
        <v>113</v>
      </c>
      <c r="G476" s="284">
        <v>0</v>
      </c>
      <c r="H476" s="284">
        <v>5</v>
      </c>
      <c r="I476" s="284">
        <v>0</v>
      </c>
      <c r="J476" s="284">
        <v>0</v>
      </c>
      <c r="K476" s="284">
        <v>5</v>
      </c>
      <c r="L476" s="545"/>
      <c r="M476" s="546"/>
    </row>
    <row r="477" spans="1:13" ht="9.75">
      <c r="A477" s="282">
        <v>11270</v>
      </c>
      <c r="B477" s="283" t="s">
        <v>163</v>
      </c>
      <c r="C477" s="283"/>
      <c r="D477" s="283"/>
      <c r="E477" s="283"/>
      <c r="F477" s="284" t="s">
        <v>116</v>
      </c>
      <c r="G477" s="284">
        <v>0</v>
      </c>
      <c r="H477" s="284">
        <v>0</v>
      </c>
      <c r="I477" s="284">
        <v>53</v>
      </c>
      <c r="J477" s="284">
        <v>0</v>
      </c>
      <c r="K477" s="284">
        <v>53</v>
      </c>
      <c r="L477" s="545"/>
      <c r="M477" s="546"/>
    </row>
    <row r="478" spans="1:13" ht="9.75">
      <c r="A478" s="282">
        <v>11270</v>
      </c>
      <c r="B478" s="283" t="s">
        <v>163</v>
      </c>
      <c r="C478" s="283"/>
      <c r="D478" s="283"/>
      <c r="E478" s="283"/>
      <c r="F478" s="284" t="s">
        <v>114</v>
      </c>
      <c r="G478" s="284">
        <v>0</v>
      </c>
      <c r="H478" s="284">
        <v>6</v>
      </c>
      <c r="I478" s="284">
        <v>39</v>
      </c>
      <c r="J478" s="284">
        <v>1</v>
      </c>
      <c r="K478" s="284">
        <v>46</v>
      </c>
      <c r="L478" s="545"/>
      <c r="M478" s="546"/>
    </row>
    <row r="479" spans="1:13" ht="9.75">
      <c r="A479" s="282">
        <v>11270</v>
      </c>
      <c r="B479" s="283" t="s">
        <v>163</v>
      </c>
      <c r="C479" s="283"/>
      <c r="D479" s="283"/>
      <c r="E479" s="283"/>
      <c r="F479" s="284" t="s">
        <v>119</v>
      </c>
      <c r="G479" s="284">
        <v>0</v>
      </c>
      <c r="H479" s="284">
        <v>1</v>
      </c>
      <c r="I479" s="284">
        <v>3</v>
      </c>
      <c r="J479" s="284">
        <v>0</v>
      </c>
      <c r="K479" s="284">
        <v>4</v>
      </c>
      <c r="L479" s="545"/>
      <c r="M479" s="546"/>
    </row>
    <row r="480" spans="1:13" ht="9.75">
      <c r="A480" s="282">
        <v>11270</v>
      </c>
      <c r="B480" s="283" t="s">
        <v>163</v>
      </c>
      <c r="C480" s="283"/>
      <c r="D480" s="283"/>
      <c r="E480" s="283"/>
      <c r="F480" s="284" t="s">
        <v>122</v>
      </c>
      <c r="G480" s="284">
        <v>0</v>
      </c>
      <c r="H480" s="284">
        <v>20</v>
      </c>
      <c r="I480" s="284">
        <v>21</v>
      </c>
      <c r="J480" s="284">
        <v>1</v>
      </c>
      <c r="K480" s="284">
        <v>42</v>
      </c>
      <c r="L480" s="545"/>
      <c r="M480" s="546"/>
    </row>
    <row r="481" spans="1:13" ht="14.25">
      <c r="A481" s="274">
        <v>11280</v>
      </c>
      <c r="B481" s="275" t="s">
        <v>280</v>
      </c>
      <c r="C481" s="275" t="s">
        <v>59</v>
      </c>
      <c r="D481" s="275" t="s">
        <v>60</v>
      </c>
      <c r="E481" s="276">
        <v>1</v>
      </c>
      <c r="F481" s="276" t="s">
        <v>132</v>
      </c>
      <c r="G481" s="276">
        <v>5</v>
      </c>
      <c r="H481" s="276">
        <v>2</v>
      </c>
      <c r="I481" s="276">
        <v>5</v>
      </c>
      <c r="J481" s="276">
        <v>0</v>
      </c>
      <c r="K481" s="276">
        <v>12</v>
      </c>
      <c r="L481" s="276">
        <v>10</v>
      </c>
      <c r="M481" s="277">
        <v>10</v>
      </c>
    </row>
    <row r="482" spans="1:13" ht="14.25">
      <c r="A482" s="278">
        <v>11280</v>
      </c>
      <c r="B482" s="279" t="s">
        <v>280</v>
      </c>
      <c r="C482" s="279" t="s">
        <v>59</v>
      </c>
      <c r="D482" s="279" t="s">
        <v>60</v>
      </c>
      <c r="E482" s="280">
        <v>1</v>
      </c>
      <c r="F482" s="280" t="s">
        <v>109</v>
      </c>
      <c r="G482" s="280">
        <v>0</v>
      </c>
      <c r="H482" s="280">
        <v>4</v>
      </c>
      <c r="I482" s="280">
        <v>10</v>
      </c>
      <c r="J482" s="280">
        <v>0</v>
      </c>
      <c r="K482" s="280">
        <v>14</v>
      </c>
      <c r="L482" s="280">
        <v>10</v>
      </c>
      <c r="M482" s="281">
        <v>10</v>
      </c>
    </row>
    <row r="483" spans="1:13" ht="14.25">
      <c r="A483" s="274">
        <v>11280</v>
      </c>
      <c r="B483" s="275" t="s">
        <v>280</v>
      </c>
      <c r="C483" s="275" t="s">
        <v>69</v>
      </c>
      <c r="D483" s="275" t="s">
        <v>70</v>
      </c>
      <c r="E483" s="276">
        <v>1</v>
      </c>
      <c r="F483" s="276" t="s">
        <v>132</v>
      </c>
      <c r="G483" s="276">
        <v>13</v>
      </c>
      <c r="H483" s="276">
        <v>7</v>
      </c>
      <c r="I483" s="276">
        <v>31</v>
      </c>
      <c r="J483" s="276">
        <v>1</v>
      </c>
      <c r="K483" s="276">
        <v>52</v>
      </c>
      <c r="L483" s="276">
        <v>44.5</v>
      </c>
      <c r="M483" s="277">
        <v>44.5</v>
      </c>
    </row>
    <row r="484" spans="1:13" ht="14.25">
      <c r="A484" s="278">
        <v>11280</v>
      </c>
      <c r="B484" s="279" t="s">
        <v>280</v>
      </c>
      <c r="C484" s="279" t="s">
        <v>69</v>
      </c>
      <c r="D484" s="279" t="s">
        <v>70</v>
      </c>
      <c r="E484" s="280">
        <v>1</v>
      </c>
      <c r="F484" s="280" t="s">
        <v>109</v>
      </c>
      <c r="G484" s="280">
        <v>0</v>
      </c>
      <c r="H484" s="280">
        <v>23</v>
      </c>
      <c r="I484" s="280">
        <v>51</v>
      </c>
      <c r="J484" s="280">
        <v>1</v>
      </c>
      <c r="K484" s="280">
        <v>75</v>
      </c>
      <c r="L484" s="280">
        <v>51.5</v>
      </c>
      <c r="M484" s="281">
        <v>51.5</v>
      </c>
    </row>
    <row r="485" spans="1:13" ht="14.25">
      <c r="A485" s="274">
        <v>11280</v>
      </c>
      <c r="B485" s="275" t="s">
        <v>280</v>
      </c>
      <c r="C485" s="275" t="s">
        <v>88</v>
      </c>
      <c r="D485" s="275" t="s">
        <v>89</v>
      </c>
      <c r="E485" s="276">
        <v>1.2</v>
      </c>
      <c r="F485" s="276" t="s">
        <v>132</v>
      </c>
      <c r="G485" s="276">
        <v>42</v>
      </c>
      <c r="H485" s="276">
        <v>1</v>
      </c>
      <c r="I485" s="276">
        <v>21</v>
      </c>
      <c r="J485" s="276">
        <v>0</v>
      </c>
      <c r="K485" s="276">
        <v>64</v>
      </c>
      <c r="L485" s="276">
        <v>63</v>
      </c>
      <c r="M485" s="277">
        <v>75.6</v>
      </c>
    </row>
    <row r="486" spans="1:13" ht="14.25">
      <c r="A486" s="278">
        <v>11280</v>
      </c>
      <c r="B486" s="279" t="s">
        <v>280</v>
      </c>
      <c r="C486" s="279" t="s">
        <v>88</v>
      </c>
      <c r="D486" s="279" t="s">
        <v>89</v>
      </c>
      <c r="E486" s="280">
        <v>1.2</v>
      </c>
      <c r="F486" s="280" t="s">
        <v>109</v>
      </c>
      <c r="G486" s="280">
        <v>0</v>
      </c>
      <c r="H486" s="280">
        <v>27</v>
      </c>
      <c r="I486" s="280">
        <v>120</v>
      </c>
      <c r="J486" s="280">
        <v>1</v>
      </c>
      <c r="K486" s="280">
        <v>148</v>
      </c>
      <c r="L486" s="280">
        <v>120.5</v>
      </c>
      <c r="M486" s="281">
        <v>144.6</v>
      </c>
    </row>
    <row r="487" spans="1:13" ht="14.25">
      <c r="A487" s="274">
        <v>11280</v>
      </c>
      <c r="B487" s="275" t="s">
        <v>280</v>
      </c>
      <c r="C487" s="275" t="s">
        <v>278</v>
      </c>
      <c r="D487" s="275" t="s">
        <v>279</v>
      </c>
      <c r="E487" s="276">
        <v>1</v>
      </c>
      <c r="F487" s="276" t="s">
        <v>132</v>
      </c>
      <c r="G487" s="276">
        <v>24</v>
      </c>
      <c r="H487" s="276">
        <v>4</v>
      </c>
      <c r="I487" s="276">
        <v>16</v>
      </c>
      <c r="J487" s="276">
        <v>0</v>
      </c>
      <c r="K487" s="276">
        <v>44</v>
      </c>
      <c r="L487" s="276">
        <v>40</v>
      </c>
      <c r="M487" s="277">
        <v>40</v>
      </c>
    </row>
    <row r="488" spans="1:13" ht="14.25">
      <c r="A488" s="278">
        <v>11280</v>
      </c>
      <c r="B488" s="279" t="s">
        <v>280</v>
      </c>
      <c r="C488" s="279" t="s">
        <v>278</v>
      </c>
      <c r="D488" s="279" t="s">
        <v>279</v>
      </c>
      <c r="E488" s="280">
        <v>1</v>
      </c>
      <c r="F488" s="280" t="s">
        <v>109</v>
      </c>
      <c r="G488" s="280">
        <v>0</v>
      </c>
      <c r="H488" s="280">
        <v>16</v>
      </c>
      <c r="I488" s="280">
        <v>101</v>
      </c>
      <c r="J488" s="280">
        <v>3</v>
      </c>
      <c r="K488" s="280">
        <v>120</v>
      </c>
      <c r="L488" s="280">
        <v>102.5</v>
      </c>
      <c r="M488" s="281">
        <v>102.5</v>
      </c>
    </row>
    <row r="489" spans="1:13" ht="14.25">
      <c r="A489" s="274">
        <v>11280</v>
      </c>
      <c r="B489" s="275" t="s">
        <v>280</v>
      </c>
      <c r="C489" s="275" t="s">
        <v>63</v>
      </c>
      <c r="D489" s="275" t="s">
        <v>60</v>
      </c>
      <c r="E489" s="276">
        <v>1</v>
      </c>
      <c r="F489" s="276" t="s">
        <v>116</v>
      </c>
      <c r="G489" s="276">
        <v>0</v>
      </c>
      <c r="H489" s="276">
        <v>0</v>
      </c>
      <c r="I489" s="276">
        <v>7</v>
      </c>
      <c r="J489" s="276">
        <v>0</v>
      </c>
      <c r="K489" s="276">
        <v>7</v>
      </c>
      <c r="L489" s="276">
        <v>7</v>
      </c>
      <c r="M489" s="277">
        <v>7</v>
      </c>
    </row>
    <row r="490" spans="1:13" ht="14.25">
      <c r="A490" s="278">
        <v>11280</v>
      </c>
      <c r="B490" s="279" t="s">
        <v>280</v>
      </c>
      <c r="C490" s="279" t="s">
        <v>63</v>
      </c>
      <c r="D490" s="279" t="s">
        <v>60</v>
      </c>
      <c r="E490" s="280">
        <v>1</v>
      </c>
      <c r="F490" s="280" t="s">
        <v>114</v>
      </c>
      <c r="G490" s="280">
        <v>0</v>
      </c>
      <c r="H490" s="280">
        <v>0</v>
      </c>
      <c r="I490" s="280">
        <v>7</v>
      </c>
      <c r="J490" s="280">
        <v>0</v>
      </c>
      <c r="K490" s="280">
        <v>7</v>
      </c>
      <c r="L490" s="280">
        <v>7</v>
      </c>
      <c r="M490" s="281">
        <v>7</v>
      </c>
    </row>
    <row r="491" spans="1:13" ht="14.25">
      <c r="A491" s="274">
        <v>11280</v>
      </c>
      <c r="B491" s="275" t="s">
        <v>280</v>
      </c>
      <c r="C491" s="275" t="s">
        <v>276</v>
      </c>
      <c r="D491" s="275" t="s">
        <v>70</v>
      </c>
      <c r="E491" s="276">
        <v>1</v>
      </c>
      <c r="F491" s="276" t="s">
        <v>116</v>
      </c>
      <c r="G491" s="276">
        <v>0</v>
      </c>
      <c r="H491" s="276">
        <v>4</v>
      </c>
      <c r="I491" s="276">
        <v>12</v>
      </c>
      <c r="J491" s="276">
        <v>0</v>
      </c>
      <c r="K491" s="276">
        <v>16</v>
      </c>
      <c r="L491" s="276">
        <v>12</v>
      </c>
      <c r="M491" s="277">
        <v>12</v>
      </c>
    </row>
    <row r="492" spans="1:13" ht="14.25">
      <c r="A492" s="278">
        <v>11280</v>
      </c>
      <c r="B492" s="279" t="s">
        <v>280</v>
      </c>
      <c r="C492" s="279" t="s">
        <v>276</v>
      </c>
      <c r="D492" s="279" t="s">
        <v>70</v>
      </c>
      <c r="E492" s="280">
        <v>1</v>
      </c>
      <c r="F492" s="280" t="s">
        <v>114</v>
      </c>
      <c r="G492" s="280">
        <v>0</v>
      </c>
      <c r="H492" s="280">
        <v>11</v>
      </c>
      <c r="I492" s="280">
        <v>28</v>
      </c>
      <c r="J492" s="280">
        <v>1</v>
      </c>
      <c r="K492" s="280">
        <v>40</v>
      </c>
      <c r="L492" s="280">
        <v>28.5</v>
      </c>
      <c r="M492" s="281">
        <v>28.5</v>
      </c>
    </row>
    <row r="493" spans="1:13" ht="14.25">
      <c r="A493" s="274">
        <v>11280</v>
      </c>
      <c r="B493" s="275" t="s">
        <v>280</v>
      </c>
      <c r="C493" s="275" t="s">
        <v>90</v>
      </c>
      <c r="D493" s="275" t="s">
        <v>91</v>
      </c>
      <c r="E493" s="276">
        <v>1.2</v>
      </c>
      <c r="F493" s="276" t="s">
        <v>116</v>
      </c>
      <c r="G493" s="276">
        <v>0</v>
      </c>
      <c r="H493" s="276">
        <v>0</v>
      </c>
      <c r="I493" s="276">
        <v>21</v>
      </c>
      <c r="J493" s="276">
        <v>1</v>
      </c>
      <c r="K493" s="276">
        <v>22</v>
      </c>
      <c r="L493" s="276">
        <v>21.5</v>
      </c>
      <c r="M493" s="277">
        <v>25.8</v>
      </c>
    </row>
    <row r="494" spans="1:13" ht="14.25">
      <c r="A494" s="278">
        <v>11280</v>
      </c>
      <c r="B494" s="279" t="s">
        <v>280</v>
      </c>
      <c r="C494" s="279" t="s">
        <v>90</v>
      </c>
      <c r="D494" s="279" t="s">
        <v>91</v>
      </c>
      <c r="E494" s="280">
        <v>1.2</v>
      </c>
      <c r="F494" s="280" t="s">
        <v>114</v>
      </c>
      <c r="G494" s="280">
        <v>0</v>
      </c>
      <c r="H494" s="280">
        <v>3</v>
      </c>
      <c r="I494" s="280">
        <v>14</v>
      </c>
      <c r="J494" s="280">
        <v>0</v>
      </c>
      <c r="K494" s="280">
        <v>17</v>
      </c>
      <c r="L494" s="280">
        <v>14</v>
      </c>
      <c r="M494" s="281">
        <v>16.8</v>
      </c>
    </row>
    <row r="495" spans="1:13" ht="14.25">
      <c r="A495" s="274">
        <v>11280</v>
      </c>
      <c r="B495" s="275" t="s">
        <v>280</v>
      </c>
      <c r="C495" s="275" t="s">
        <v>282</v>
      </c>
      <c r="D495" s="275" t="s">
        <v>279</v>
      </c>
      <c r="E495" s="276">
        <v>1</v>
      </c>
      <c r="F495" s="276" t="s">
        <v>116</v>
      </c>
      <c r="G495" s="276">
        <v>0</v>
      </c>
      <c r="H495" s="276">
        <v>0</v>
      </c>
      <c r="I495" s="276">
        <v>37</v>
      </c>
      <c r="J495" s="276">
        <v>0</v>
      </c>
      <c r="K495" s="276">
        <v>37</v>
      </c>
      <c r="L495" s="276">
        <v>37</v>
      </c>
      <c r="M495" s="277">
        <v>37</v>
      </c>
    </row>
    <row r="496" spans="1:13" ht="14.25">
      <c r="A496" s="278">
        <v>11280</v>
      </c>
      <c r="B496" s="279" t="s">
        <v>280</v>
      </c>
      <c r="C496" s="279" t="s">
        <v>282</v>
      </c>
      <c r="D496" s="279" t="s">
        <v>279</v>
      </c>
      <c r="E496" s="280">
        <v>1</v>
      </c>
      <c r="F496" s="280" t="s">
        <v>114</v>
      </c>
      <c r="G496" s="280">
        <v>0</v>
      </c>
      <c r="H496" s="280">
        <v>10</v>
      </c>
      <c r="I496" s="280">
        <v>45</v>
      </c>
      <c r="J496" s="280">
        <v>0</v>
      </c>
      <c r="K496" s="280">
        <v>55</v>
      </c>
      <c r="L496" s="280">
        <v>45</v>
      </c>
      <c r="M496" s="281">
        <v>45</v>
      </c>
    </row>
    <row r="497" spans="1:13" ht="14.25">
      <c r="A497" s="274">
        <v>11280</v>
      </c>
      <c r="B497" s="275" t="s">
        <v>280</v>
      </c>
      <c r="C497" s="275" t="s">
        <v>71</v>
      </c>
      <c r="D497" s="275" t="s">
        <v>70</v>
      </c>
      <c r="E497" s="276">
        <v>1</v>
      </c>
      <c r="F497" s="276" t="s">
        <v>119</v>
      </c>
      <c r="G497" s="276">
        <v>0</v>
      </c>
      <c r="H497" s="276">
        <v>1</v>
      </c>
      <c r="I497" s="276">
        <v>8</v>
      </c>
      <c r="J497" s="276">
        <v>0</v>
      </c>
      <c r="K497" s="276">
        <v>9</v>
      </c>
      <c r="L497" s="276">
        <v>8</v>
      </c>
      <c r="M497" s="277">
        <v>8</v>
      </c>
    </row>
    <row r="498" spans="1:13" ht="14.25">
      <c r="A498" s="278">
        <v>11280</v>
      </c>
      <c r="B498" s="279" t="s">
        <v>280</v>
      </c>
      <c r="C498" s="279" t="s">
        <v>71</v>
      </c>
      <c r="D498" s="279" t="s">
        <v>70</v>
      </c>
      <c r="E498" s="280">
        <v>1</v>
      </c>
      <c r="F498" s="280" t="s">
        <v>122</v>
      </c>
      <c r="G498" s="280">
        <v>0</v>
      </c>
      <c r="H498" s="280">
        <v>19</v>
      </c>
      <c r="I498" s="280">
        <v>23</v>
      </c>
      <c r="J498" s="280">
        <v>0</v>
      </c>
      <c r="K498" s="280">
        <v>42</v>
      </c>
      <c r="L498" s="280">
        <v>23</v>
      </c>
      <c r="M498" s="281">
        <v>23</v>
      </c>
    </row>
    <row r="499" spans="1:13" ht="9.75">
      <c r="A499" s="282">
        <v>11280</v>
      </c>
      <c r="B499" s="283" t="s">
        <v>163</v>
      </c>
      <c r="C499" s="283"/>
      <c r="D499" s="283"/>
      <c r="E499" s="283"/>
      <c r="F499" s="284" t="s">
        <v>132</v>
      </c>
      <c r="G499" s="284">
        <v>84</v>
      </c>
      <c r="H499" s="284">
        <v>14</v>
      </c>
      <c r="I499" s="284">
        <v>73</v>
      </c>
      <c r="J499" s="284">
        <v>1</v>
      </c>
      <c r="K499" s="284">
        <v>172</v>
      </c>
      <c r="L499" s="545"/>
      <c r="M499" s="546"/>
    </row>
    <row r="500" spans="1:13" ht="9.75">
      <c r="A500" s="282">
        <v>11280</v>
      </c>
      <c r="B500" s="283" t="s">
        <v>163</v>
      </c>
      <c r="C500" s="283"/>
      <c r="D500" s="283"/>
      <c r="E500" s="283"/>
      <c r="F500" s="284" t="s">
        <v>109</v>
      </c>
      <c r="G500" s="284">
        <v>0</v>
      </c>
      <c r="H500" s="284">
        <v>70</v>
      </c>
      <c r="I500" s="284">
        <v>282</v>
      </c>
      <c r="J500" s="284">
        <v>5</v>
      </c>
      <c r="K500" s="284">
        <v>357</v>
      </c>
      <c r="L500" s="545"/>
      <c r="M500" s="546"/>
    </row>
    <row r="501" spans="1:13" ht="9.75">
      <c r="A501" s="282">
        <v>11280</v>
      </c>
      <c r="B501" s="283" t="s">
        <v>163</v>
      </c>
      <c r="C501" s="283"/>
      <c r="D501" s="283"/>
      <c r="E501" s="283"/>
      <c r="F501" s="284" t="s">
        <v>110</v>
      </c>
      <c r="G501" s="284">
        <v>0</v>
      </c>
      <c r="H501" s="284">
        <v>0</v>
      </c>
      <c r="I501" s="284">
        <v>0</v>
      </c>
      <c r="J501" s="284">
        <v>0</v>
      </c>
      <c r="K501" s="284">
        <v>0</v>
      </c>
      <c r="L501" s="545"/>
      <c r="M501" s="546"/>
    </row>
    <row r="502" spans="1:13" ht="9.75">
      <c r="A502" s="282">
        <v>11280</v>
      </c>
      <c r="B502" s="283" t="s">
        <v>163</v>
      </c>
      <c r="C502" s="283"/>
      <c r="D502" s="283"/>
      <c r="E502" s="283"/>
      <c r="F502" s="284" t="s">
        <v>113</v>
      </c>
      <c r="G502" s="284">
        <v>0</v>
      </c>
      <c r="H502" s="284">
        <v>0</v>
      </c>
      <c r="I502" s="284">
        <v>0</v>
      </c>
      <c r="J502" s="284">
        <v>0</v>
      </c>
      <c r="K502" s="284">
        <v>0</v>
      </c>
      <c r="L502" s="545"/>
      <c r="M502" s="546"/>
    </row>
    <row r="503" spans="1:13" ht="9.75">
      <c r="A503" s="282">
        <v>11280</v>
      </c>
      <c r="B503" s="283" t="s">
        <v>163</v>
      </c>
      <c r="C503" s="283"/>
      <c r="D503" s="283"/>
      <c r="E503" s="283"/>
      <c r="F503" s="284" t="s">
        <v>116</v>
      </c>
      <c r="G503" s="284">
        <v>0</v>
      </c>
      <c r="H503" s="284">
        <v>4</v>
      </c>
      <c r="I503" s="284">
        <v>77</v>
      </c>
      <c r="J503" s="284">
        <v>1</v>
      </c>
      <c r="K503" s="284">
        <v>82</v>
      </c>
      <c r="L503" s="545"/>
      <c r="M503" s="546"/>
    </row>
    <row r="504" spans="1:13" ht="9.75">
      <c r="A504" s="282">
        <v>11280</v>
      </c>
      <c r="B504" s="283" t="s">
        <v>163</v>
      </c>
      <c r="C504" s="283"/>
      <c r="D504" s="283"/>
      <c r="E504" s="283"/>
      <c r="F504" s="284" t="s">
        <v>114</v>
      </c>
      <c r="G504" s="284">
        <v>0</v>
      </c>
      <c r="H504" s="284">
        <v>24</v>
      </c>
      <c r="I504" s="284">
        <v>94</v>
      </c>
      <c r="J504" s="284">
        <v>1</v>
      </c>
      <c r="K504" s="284">
        <v>119</v>
      </c>
      <c r="L504" s="545"/>
      <c r="M504" s="546"/>
    </row>
    <row r="505" spans="1:13" ht="9.75">
      <c r="A505" s="282">
        <v>11280</v>
      </c>
      <c r="B505" s="283" t="s">
        <v>163</v>
      </c>
      <c r="C505" s="283"/>
      <c r="D505" s="283"/>
      <c r="E505" s="283"/>
      <c r="F505" s="284" t="s">
        <v>119</v>
      </c>
      <c r="G505" s="284">
        <v>0</v>
      </c>
      <c r="H505" s="284">
        <v>1</v>
      </c>
      <c r="I505" s="284">
        <v>8</v>
      </c>
      <c r="J505" s="284">
        <v>0</v>
      </c>
      <c r="K505" s="284">
        <v>9</v>
      </c>
      <c r="L505" s="545"/>
      <c r="M505" s="546"/>
    </row>
    <row r="506" spans="1:13" ht="9.75">
      <c r="A506" s="282">
        <v>11280</v>
      </c>
      <c r="B506" s="283" t="s">
        <v>163</v>
      </c>
      <c r="C506" s="283"/>
      <c r="D506" s="283"/>
      <c r="E506" s="283"/>
      <c r="F506" s="284" t="s">
        <v>122</v>
      </c>
      <c r="G506" s="284">
        <v>0</v>
      </c>
      <c r="H506" s="284">
        <v>19</v>
      </c>
      <c r="I506" s="284">
        <v>23</v>
      </c>
      <c r="J506" s="284">
        <v>0</v>
      </c>
      <c r="K506" s="284">
        <v>42</v>
      </c>
      <c r="L506" s="545"/>
      <c r="M506" s="546"/>
    </row>
    <row r="507" spans="1:13" ht="14.25">
      <c r="A507" s="274">
        <v>11310</v>
      </c>
      <c r="B507" s="275" t="s">
        <v>283</v>
      </c>
      <c r="C507" s="275" t="s">
        <v>284</v>
      </c>
      <c r="D507" s="275" t="s">
        <v>285</v>
      </c>
      <c r="E507" s="276">
        <v>2.25</v>
      </c>
      <c r="F507" s="276" t="s">
        <v>132</v>
      </c>
      <c r="G507" s="600">
        <v>62</v>
      </c>
      <c r="H507" s="276">
        <v>1</v>
      </c>
      <c r="I507" s="600">
        <v>32</v>
      </c>
      <c r="J507" s="601">
        <v>0</v>
      </c>
      <c r="K507" s="276">
        <v>95</v>
      </c>
      <c r="L507" s="602">
        <v>94</v>
      </c>
      <c r="M507" s="277">
        <v>211.5</v>
      </c>
    </row>
    <row r="508" spans="1:13" ht="14.25">
      <c r="A508" s="278">
        <v>11310</v>
      </c>
      <c r="B508" s="279" t="s">
        <v>283</v>
      </c>
      <c r="C508" s="279" t="s">
        <v>284</v>
      </c>
      <c r="D508" s="279" t="s">
        <v>285</v>
      </c>
      <c r="E508" s="280">
        <v>2.25</v>
      </c>
      <c r="F508" s="280" t="s">
        <v>109</v>
      </c>
      <c r="G508" s="600">
        <v>0</v>
      </c>
      <c r="H508" s="276">
        <v>10</v>
      </c>
      <c r="I508" s="600">
        <v>61</v>
      </c>
      <c r="J508" s="601">
        <v>4</v>
      </c>
      <c r="K508" s="276">
        <v>75</v>
      </c>
      <c r="L508" s="602">
        <v>63</v>
      </c>
      <c r="M508" s="281">
        <v>141.75</v>
      </c>
    </row>
    <row r="509" spans="1:13" ht="14.25">
      <c r="A509" s="274">
        <v>11310</v>
      </c>
      <c r="B509" s="275" t="s">
        <v>283</v>
      </c>
      <c r="C509" s="275" t="s">
        <v>286</v>
      </c>
      <c r="D509" s="275" t="s">
        <v>287</v>
      </c>
      <c r="E509" s="276">
        <v>1.65</v>
      </c>
      <c r="F509" s="276" t="s">
        <v>132</v>
      </c>
      <c r="G509" s="276">
        <v>60</v>
      </c>
      <c r="H509" s="276">
        <v>0</v>
      </c>
      <c r="I509" s="276">
        <v>31</v>
      </c>
      <c r="J509" s="276">
        <v>0</v>
      </c>
      <c r="K509" s="276">
        <v>91</v>
      </c>
      <c r="L509" s="276">
        <v>91</v>
      </c>
      <c r="M509" s="277">
        <v>150.15</v>
      </c>
    </row>
    <row r="510" spans="1:13" ht="14.25">
      <c r="A510" s="278">
        <v>11310</v>
      </c>
      <c r="B510" s="279" t="s">
        <v>283</v>
      </c>
      <c r="C510" s="279" t="s">
        <v>286</v>
      </c>
      <c r="D510" s="279" t="s">
        <v>287</v>
      </c>
      <c r="E510" s="599">
        <v>1.65</v>
      </c>
      <c r="F510" s="280" t="s">
        <v>109</v>
      </c>
      <c r="G510" s="280">
        <v>0</v>
      </c>
      <c r="H510" s="280">
        <v>18</v>
      </c>
      <c r="I510" s="280">
        <v>128</v>
      </c>
      <c r="J510" s="280">
        <v>2</v>
      </c>
      <c r="K510" s="280">
        <v>148</v>
      </c>
      <c r="L510" s="599">
        <v>129</v>
      </c>
      <c r="M510" s="603">
        <v>212.85</v>
      </c>
    </row>
    <row r="511" spans="1:13" ht="14.25">
      <c r="A511" s="274">
        <v>11310</v>
      </c>
      <c r="B511" s="275" t="s">
        <v>283</v>
      </c>
      <c r="C511" s="275" t="s">
        <v>288</v>
      </c>
      <c r="D511" s="275" t="s">
        <v>74</v>
      </c>
      <c r="E511" s="276">
        <v>1.65</v>
      </c>
      <c r="F511" s="276" t="s">
        <v>132</v>
      </c>
      <c r="G511" s="276">
        <v>39</v>
      </c>
      <c r="H511" s="276">
        <v>0</v>
      </c>
      <c r="I511" s="276">
        <v>14</v>
      </c>
      <c r="J511" s="276">
        <v>0</v>
      </c>
      <c r="K511" s="276">
        <v>53</v>
      </c>
      <c r="L511" s="276">
        <v>53</v>
      </c>
      <c r="M511" s="277">
        <v>87.45</v>
      </c>
    </row>
    <row r="512" spans="1:13" ht="14.25">
      <c r="A512" s="278">
        <v>11310</v>
      </c>
      <c r="B512" s="279" t="s">
        <v>283</v>
      </c>
      <c r="C512" s="279" t="s">
        <v>288</v>
      </c>
      <c r="D512" s="279" t="s">
        <v>74</v>
      </c>
      <c r="E512" s="280">
        <v>1.65</v>
      </c>
      <c r="F512" s="280" t="s">
        <v>109</v>
      </c>
      <c r="G512" s="280">
        <v>0</v>
      </c>
      <c r="H512" s="280">
        <v>14</v>
      </c>
      <c r="I512" s="280">
        <v>69</v>
      </c>
      <c r="J512" s="280">
        <v>0</v>
      </c>
      <c r="K512" s="280">
        <v>83</v>
      </c>
      <c r="L512" s="280">
        <v>69</v>
      </c>
      <c r="M512" s="281">
        <v>113.85</v>
      </c>
    </row>
    <row r="513" spans="1:13" ht="14.25">
      <c r="A513" s="274">
        <v>11310</v>
      </c>
      <c r="B513" s="275" t="s">
        <v>283</v>
      </c>
      <c r="C513" s="275" t="s">
        <v>289</v>
      </c>
      <c r="D513" s="275" t="s">
        <v>220</v>
      </c>
      <c r="E513" s="276">
        <v>2.8</v>
      </c>
      <c r="F513" s="276" t="s">
        <v>132</v>
      </c>
      <c r="G513" s="276">
        <v>38</v>
      </c>
      <c r="H513" s="276">
        <v>0</v>
      </c>
      <c r="I513" s="276">
        <v>8</v>
      </c>
      <c r="J513" s="276">
        <v>0</v>
      </c>
      <c r="K513" s="276">
        <v>46</v>
      </c>
      <c r="L513" s="276">
        <v>46</v>
      </c>
      <c r="M513" s="277">
        <v>128.8</v>
      </c>
    </row>
    <row r="514" spans="1:13" ht="14.25">
      <c r="A514" s="278">
        <v>11310</v>
      </c>
      <c r="B514" s="279" t="s">
        <v>283</v>
      </c>
      <c r="C514" s="279" t="s">
        <v>289</v>
      </c>
      <c r="D514" s="279" t="s">
        <v>220</v>
      </c>
      <c r="E514" s="280">
        <v>2.8</v>
      </c>
      <c r="F514" s="280" t="s">
        <v>109</v>
      </c>
      <c r="G514" s="280">
        <v>0</v>
      </c>
      <c r="H514" s="280">
        <v>5</v>
      </c>
      <c r="I514" s="280">
        <v>86</v>
      </c>
      <c r="J514" s="280">
        <v>2</v>
      </c>
      <c r="K514" s="280">
        <v>93</v>
      </c>
      <c r="L514" s="280">
        <v>87</v>
      </c>
      <c r="M514" s="281">
        <v>243.6</v>
      </c>
    </row>
    <row r="515" spans="1:13" ht="14.25">
      <c r="A515" s="274">
        <v>11310</v>
      </c>
      <c r="B515" s="275" t="s">
        <v>283</v>
      </c>
      <c r="C515" s="275" t="s">
        <v>290</v>
      </c>
      <c r="D515" s="275" t="s">
        <v>291</v>
      </c>
      <c r="E515" s="276">
        <v>2.8</v>
      </c>
      <c r="F515" s="276" t="s">
        <v>132</v>
      </c>
      <c r="G515" s="276">
        <v>62</v>
      </c>
      <c r="H515" s="276">
        <v>1</v>
      </c>
      <c r="I515" s="276">
        <v>21</v>
      </c>
      <c r="J515" s="276">
        <v>0</v>
      </c>
      <c r="K515" s="276">
        <v>84</v>
      </c>
      <c r="L515" s="276">
        <v>83</v>
      </c>
      <c r="M515" s="277">
        <v>232.4</v>
      </c>
    </row>
    <row r="516" spans="1:13" ht="14.25">
      <c r="A516" s="278">
        <v>11310</v>
      </c>
      <c r="B516" s="279" t="s">
        <v>283</v>
      </c>
      <c r="C516" s="279" t="s">
        <v>290</v>
      </c>
      <c r="D516" s="279" t="s">
        <v>291</v>
      </c>
      <c r="E516" s="280">
        <v>2.8</v>
      </c>
      <c r="F516" s="280" t="s">
        <v>109</v>
      </c>
      <c r="G516" s="280">
        <v>0</v>
      </c>
      <c r="H516" s="280">
        <v>7</v>
      </c>
      <c r="I516" s="280">
        <v>106</v>
      </c>
      <c r="J516" s="280">
        <v>0</v>
      </c>
      <c r="K516" s="280">
        <v>113</v>
      </c>
      <c r="L516" s="280">
        <v>106</v>
      </c>
      <c r="M516" s="281">
        <v>296.8</v>
      </c>
    </row>
    <row r="517" spans="1:13" ht="14.25">
      <c r="A517" s="274">
        <v>11310</v>
      </c>
      <c r="B517" s="275" t="s">
        <v>283</v>
      </c>
      <c r="C517" s="275" t="s">
        <v>292</v>
      </c>
      <c r="D517" s="275" t="s">
        <v>293</v>
      </c>
      <c r="E517" s="276">
        <v>2.8</v>
      </c>
      <c r="F517" s="276" t="s">
        <v>132</v>
      </c>
      <c r="G517" s="276">
        <v>26</v>
      </c>
      <c r="H517" s="276">
        <v>0</v>
      </c>
      <c r="I517" s="276">
        <v>6</v>
      </c>
      <c r="J517" s="276">
        <v>1</v>
      </c>
      <c r="K517" s="276">
        <v>33</v>
      </c>
      <c r="L517" s="276">
        <v>32.5</v>
      </c>
      <c r="M517" s="277">
        <v>91</v>
      </c>
    </row>
    <row r="518" spans="1:13" ht="14.25">
      <c r="A518" s="278">
        <v>11310</v>
      </c>
      <c r="B518" s="279" t="s">
        <v>283</v>
      </c>
      <c r="C518" s="279" t="s">
        <v>292</v>
      </c>
      <c r="D518" s="279" t="s">
        <v>293</v>
      </c>
      <c r="E518" s="280">
        <v>2.8</v>
      </c>
      <c r="F518" s="280" t="s">
        <v>109</v>
      </c>
      <c r="G518" s="280">
        <v>0</v>
      </c>
      <c r="H518" s="280">
        <v>10</v>
      </c>
      <c r="I518" s="280">
        <v>77</v>
      </c>
      <c r="J518" s="280">
        <v>1</v>
      </c>
      <c r="K518" s="280">
        <v>88</v>
      </c>
      <c r="L518" s="280">
        <v>77.5</v>
      </c>
      <c r="M518" s="281">
        <v>217</v>
      </c>
    </row>
    <row r="519" spans="1:13" ht="14.25">
      <c r="A519" s="274">
        <v>11310</v>
      </c>
      <c r="B519" s="275" t="s">
        <v>283</v>
      </c>
      <c r="C519" s="275" t="s">
        <v>294</v>
      </c>
      <c r="D519" s="275" t="s">
        <v>295</v>
      </c>
      <c r="E519" s="276">
        <v>2.25</v>
      </c>
      <c r="F519" s="276" t="s">
        <v>132</v>
      </c>
      <c r="G519" s="276">
        <v>152</v>
      </c>
      <c r="H519" s="276">
        <v>3</v>
      </c>
      <c r="I519" s="276">
        <v>70</v>
      </c>
      <c r="J519" s="276">
        <v>2</v>
      </c>
      <c r="K519" s="276">
        <v>227</v>
      </c>
      <c r="L519" s="276">
        <v>223</v>
      </c>
      <c r="M519" s="277">
        <v>501.75</v>
      </c>
    </row>
    <row r="520" spans="1:13" ht="14.25">
      <c r="A520" s="278">
        <v>11310</v>
      </c>
      <c r="B520" s="279" t="s">
        <v>283</v>
      </c>
      <c r="C520" s="279" t="s">
        <v>294</v>
      </c>
      <c r="D520" s="279" t="s">
        <v>295</v>
      </c>
      <c r="E520" s="280">
        <v>2.25</v>
      </c>
      <c r="F520" s="280" t="s">
        <v>109</v>
      </c>
      <c r="G520" s="280">
        <v>0</v>
      </c>
      <c r="H520" s="280">
        <v>54</v>
      </c>
      <c r="I520" s="280">
        <v>389</v>
      </c>
      <c r="J520" s="280">
        <v>1</v>
      </c>
      <c r="K520" s="280">
        <v>444</v>
      </c>
      <c r="L520" s="280">
        <v>389.5</v>
      </c>
      <c r="M520" s="281">
        <v>876.38</v>
      </c>
    </row>
    <row r="521" spans="1:13" ht="14.25">
      <c r="A521" s="274">
        <v>11310</v>
      </c>
      <c r="B521" s="275" t="s">
        <v>283</v>
      </c>
      <c r="C521" s="275" t="s">
        <v>296</v>
      </c>
      <c r="D521" s="275" t="s">
        <v>273</v>
      </c>
      <c r="E521" s="276">
        <v>1.65</v>
      </c>
      <c r="F521" s="276" t="s">
        <v>132</v>
      </c>
      <c r="G521" s="276">
        <v>14</v>
      </c>
      <c r="H521" s="276">
        <v>0</v>
      </c>
      <c r="I521" s="276">
        <v>4</v>
      </c>
      <c r="J521" s="276">
        <v>0</v>
      </c>
      <c r="K521" s="276">
        <v>18</v>
      </c>
      <c r="L521" s="276">
        <v>18</v>
      </c>
      <c r="M521" s="277">
        <v>29.7</v>
      </c>
    </row>
    <row r="522" spans="1:13" ht="14.25">
      <c r="A522" s="278">
        <v>11310</v>
      </c>
      <c r="B522" s="279" t="s">
        <v>283</v>
      </c>
      <c r="C522" s="279" t="s">
        <v>296</v>
      </c>
      <c r="D522" s="279" t="s">
        <v>273</v>
      </c>
      <c r="E522" s="280">
        <v>1.65</v>
      </c>
      <c r="F522" s="280" t="s">
        <v>109</v>
      </c>
      <c r="G522" s="280">
        <v>0</v>
      </c>
      <c r="H522" s="280">
        <v>3</v>
      </c>
      <c r="I522" s="280">
        <v>54</v>
      </c>
      <c r="J522" s="280">
        <v>1</v>
      </c>
      <c r="K522" s="280">
        <v>58</v>
      </c>
      <c r="L522" s="280">
        <v>54.5</v>
      </c>
      <c r="M522" s="281">
        <v>89.93</v>
      </c>
    </row>
    <row r="523" spans="1:13" ht="14.25">
      <c r="A523" s="274">
        <v>11310</v>
      </c>
      <c r="B523" s="275" t="s">
        <v>283</v>
      </c>
      <c r="C523" s="275" t="s">
        <v>297</v>
      </c>
      <c r="D523" s="275" t="s">
        <v>298</v>
      </c>
      <c r="E523" s="276">
        <v>2.8</v>
      </c>
      <c r="F523" s="276" t="s">
        <v>132</v>
      </c>
      <c r="G523" s="276">
        <v>121</v>
      </c>
      <c r="H523" s="276">
        <v>2</v>
      </c>
      <c r="I523" s="276">
        <v>32</v>
      </c>
      <c r="J523" s="276">
        <v>0</v>
      </c>
      <c r="K523" s="276">
        <v>155</v>
      </c>
      <c r="L523" s="276">
        <v>153</v>
      </c>
      <c r="M523" s="277">
        <v>428.4</v>
      </c>
    </row>
    <row r="524" spans="1:13" ht="14.25">
      <c r="A524" s="278">
        <v>11310</v>
      </c>
      <c r="B524" s="279" t="s">
        <v>283</v>
      </c>
      <c r="C524" s="279" t="s">
        <v>297</v>
      </c>
      <c r="D524" s="279" t="s">
        <v>298</v>
      </c>
      <c r="E524" s="280">
        <v>2.8</v>
      </c>
      <c r="F524" s="280" t="s">
        <v>109</v>
      </c>
      <c r="G524" s="280">
        <v>0</v>
      </c>
      <c r="H524" s="280">
        <v>12</v>
      </c>
      <c r="I524" s="280">
        <v>222</v>
      </c>
      <c r="J524" s="280">
        <v>3</v>
      </c>
      <c r="K524" s="280">
        <v>237</v>
      </c>
      <c r="L524" s="280">
        <v>223.5</v>
      </c>
      <c r="M524" s="281">
        <v>625.8</v>
      </c>
    </row>
    <row r="525" spans="1:13" ht="14.25">
      <c r="A525" s="274">
        <v>11310</v>
      </c>
      <c r="B525" s="275" t="s">
        <v>283</v>
      </c>
      <c r="C525" s="275" t="s">
        <v>299</v>
      </c>
      <c r="D525" s="275" t="s">
        <v>300</v>
      </c>
      <c r="E525" s="276">
        <v>2.25</v>
      </c>
      <c r="F525" s="276" t="s">
        <v>132</v>
      </c>
      <c r="G525" s="276">
        <v>10</v>
      </c>
      <c r="H525" s="276">
        <v>0</v>
      </c>
      <c r="I525" s="276">
        <v>8</v>
      </c>
      <c r="J525" s="276">
        <v>0</v>
      </c>
      <c r="K525" s="276">
        <v>18</v>
      </c>
      <c r="L525" s="276">
        <v>18</v>
      </c>
      <c r="M525" s="277">
        <v>40.5</v>
      </c>
    </row>
    <row r="526" spans="1:13" ht="14.25">
      <c r="A526" s="278">
        <v>11310</v>
      </c>
      <c r="B526" s="279" t="s">
        <v>283</v>
      </c>
      <c r="C526" s="279" t="s">
        <v>299</v>
      </c>
      <c r="D526" s="279" t="s">
        <v>300</v>
      </c>
      <c r="E526" s="280">
        <v>2.25</v>
      </c>
      <c r="F526" s="280" t="s">
        <v>109</v>
      </c>
      <c r="G526" s="280">
        <v>0</v>
      </c>
      <c r="H526" s="280">
        <v>1</v>
      </c>
      <c r="I526" s="280">
        <v>17</v>
      </c>
      <c r="J526" s="280">
        <v>0</v>
      </c>
      <c r="K526" s="280">
        <v>18</v>
      </c>
      <c r="L526" s="280">
        <v>17</v>
      </c>
      <c r="M526" s="281">
        <v>38.25</v>
      </c>
    </row>
    <row r="527" spans="1:13" ht="14.25">
      <c r="A527" s="274">
        <v>11310</v>
      </c>
      <c r="B527" s="275" t="s">
        <v>283</v>
      </c>
      <c r="C527" s="275" t="s">
        <v>663</v>
      </c>
      <c r="D527" s="275" t="s">
        <v>664</v>
      </c>
      <c r="E527" s="276">
        <v>2.25</v>
      </c>
      <c r="F527" s="276" t="s">
        <v>132</v>
      </c>
      <c r="G527" s="276">
        <v>6</v>
      </c>
      <c r="H527" s="276">
        <v>0</v>
      </c>
      <c r="I527" s="276">
        <v>3</v>
      </c>
      <c r="J527" s="276">
        <v>0</v>
      </c>
      <c r="K527" s="276">
        <v>9</v>
      </c>
      <c r="L527" s="276">
        <v>9</v>
      </c>
      <c r="M527" s="277">
        <v>20.25</v>
      </c>
    </row>
    <row r="528" spans="1:13" ht="14.25">
      <c r="A528" s="278">
        <v>11310</v>
      </c>
      <c r="B528" s="279" t="s">
        <v>283</v>
      </c>
      <c r="C528" s="279" t="s">
        <v>665</v>
      </c>
      <c r="D528" s="279" t="s">
        <v>666</v>
      </c>
      <c r="E528" s="280">
        <v>2.25</v>
      </c>
      <c r="F528" s="280" t="s">
        <v>132</v>
      </c>
      <c r="G528" s="280">
        <v>1</v>
      </c>
      <c r="H528" s="280">
        <v>0</v>
      </c>
      <c r="I528" s="280">
        <v>3</v>
      </c>
      <c r="J528" s="280">
        <v>0</v>
      </c>
      <c r="K528" s="280">
        <v>4</v>
      </c>
      <c r="L528" s="280">
        <v>4</v>
      </c>
      <c r="M528" s="281">
        <v>9</v>
      </c>
    </row>
    <row r="529" spans="1:13" ht="14.25">
      <c r="A529" s="274">
        <v>11310</v>
      </c>
      <c r="B529" s="275" t="s">
        <v>283</v>
      </c>
      <c r="C529" s="275" t="s">
        <v>301</v>
      </c>
      <c r="D529" s="275" t="s">
        <v>285</v>
      </c>
      <c r="E529" s="276">
        <v>2.25</v>
      </c>
      <c r="F529" s="276" t="s">
        <v>116</v>
      </c>
      <c r="G529" s="276">
        <v>0</v>
      </c>
      <c r="H529" s="276">
        <v>1</v>
      </c>
      <c r="I529" s="276">
        <v>22</v>
      </c>
      <c r="J529" s="276">
        <v>0</v>
      </c>
      <c r="K529" s="276">
        <v>23</v>
      </c>
      <c r="L529" s="276">
        <v>22</v>
      </c>
      <c r="M529" s="277">
        <v>49.5</v>
      </c>
    </row>
    <row r="530" spans="1:13" ht="14.25">
      <c r="A530" s="278">
        <v>11310</v>
      </c>
      <c r="B530" s="279" t="s">
        <v>283</v>
      </c>
      <c r="C530" s="279" t="s">
        <v>301</v>
      </c>
      <c r="D530" s="279" t="s">
        <v>285</v>
      </c>
      <c r="E530" s="280">
        <v>2.25</v>
      </c>
      <c r="F530" s="280" t="s">
        <v>114</v>
      </c>
      <c r="G530" s="280">
        <v>0</v>
      </c>
      <c r="H530" s="280">
        <v>2</v>
      </c>
      <c r="I530" s="280">
        <v>39</v>
      </c>
      <c r="J530" s="280">
        <v>2</v>
      </c>
      <c r="K530" s="280">
        <v>43</v>
      </c>
      <c r="L530" s="280">
        <v>40</v>
      </c>
      <c r="M530" s="281">
        <v>90</v>
      </c>
    </row>
    <row r="531" spans="1:13" ht="14.25">
      <c r="A531" s="274">
        <v>11310</v>
      </c>
      <c r="B531" s="275" t="s">
        <v>283</v>
      </c>
      <c r="C531" s="275" t="s">
        <v>302</v>
      </c>
      <c r="D531" s="275" t="s">
        <v>287</v>
      </c>
      <c r="E531" s="276">
        <v>1.65</v>
      </c>
      <c r="F531" s="276" t="s">
        <v>116</v>
      </c>
      <c r="G531" s="276">
        <v>0</v>
      </c>
      <c r="H531" s="276">
        <v>1</v>
      </c>
      <c r="I531" s="276">
        <v>65</v>
      </c>
      <c r="J531" s="276">
        <v>0</v>
      </c>
      <c r="K531" s="276">
        <v>66</v>
      </c>
      <c r="L531" s="276">
        <v>65</v>
      </c>
      <c r="M531" s="277">
        <v>107.25</v>
      </c>
    </row>
    <row r="532" spans="1:13" ht="14.25">
      <c r="A532" s="278">
        <v>11310</v>
      </c>
      <c r="B532" s="279" t="s">
        <v>283</v>
      </c>
      <c r="C532" s="279" t="s">
        <v>302</v>
      </c>
      <c r="D532" s="279" t="s">
        <v>287</v>
      </c>
      <c r="E532" s="280">
        <v>1.65</v>
      </c>
      <c r="F532" s="280" t="s">
        <v>114</v>
      </c>
      <c r="G532" s="280">
        <v>0</v>
      </c>
      <c r="H532" s="280">
        <v>28</v>
      </c>
      <c r="I532" s="280">
        <v>160</v>
      </c>
      <c r="J532" s="280">
        <v>0</v>
      </c>
      <c r="K532" s="280">
        <v>188</v>
      </c>
      <c r="L532" s="280">
        <v>160</v>
      </c>
      <c r="M532" s="281">
        <v>264</v>
      </c>
    </row>
    <row r="533" spans="1:13" ht="14.25">
      <c r="A533" s="274">
        <v>11310</v>
      </c>
      <c r="B533" s="275" t="s">
        <v>283</v>
      </c>
      <c r="C533" s="275" t="s">
        <v>303</v>
      </c>
      <c r="D533" s="275" t="s">
        <v>74</v>
      </c>
      <c r="E533" s="276">
        <v>1.65</v>
      </c>
      <c r="F533" s="276" t="s">
        <v>116</v>
      </c>
      <c r="G533" s="276">
        <v>0</v>
      </c>
      <c r="H533" s="276">
        <v>0</v>
      </c>
      <c r="I533" s="276">
        <v>9</v>
      </c>
      <c r="J533" s="276">
        <v>0</v>
      </c>
      <c r="K533" s="276">
        <v>9</v>
      </c>
      <c r="L533" s="276">
        <v>9</v>
      </c>
      <c r="M533" s="277">
        <v>14.85</v>
      </c>
    </row>
    <row r="534" spans="1:13" ht="14.25">
      <c r="A534" s="278">
        <v>11310</v>
      </c>
      <c r="B534" s="279" t="s">
        <v>283</v>
      </c>
      <c r="C534" s="279" t="s">
        <v>303</v>
      </c>
      <c r="D534" s="279" t="s">
        <v>74</v>
      </c>
      <c r="E534" s="280">
        <v>1.65</v>
      </c>
      <c r="F534" s="280" t="s">
        <v>114</v>
      </c>
      <c r="G534" s="280">
        <v>0</v>
      </c>
      <c r="H534" s="280">
        <v>6</v>
      </c>
      <c r="I534" s="280">
        <v>22</v>
      </c>
      <c r="J534" s="280">
        <v>1</v>
      </c>
      <c r="K534" s="280">
        <v>29</v>
      </c>
      <c r="L534" s="280">
        <v>22.5</v>
      </c>
      <c r="M534" s="281">
        <v>37.13</v>
      </c>
    </row>
    <row r="535" spans="1:13" ht="14.25">
      <c r="A535" s="274">
        <v>11310</v>
      </c>
      <c r="B535" s="275" t="s">
        <v>283</v>
      </c>
      <c r="C535" s="275" t="s">
        <v>304</v>
      </c>
      <c r="D535" s="275" t="s">
        <v>220</v>
      </c>
      <c r="E535" s="276">
        <v>2.8</v>
      </c>
      <c r="F535" s="276" t="s">
        <v>116</v>
      </c>
      <c r="G535" s="276">
        <v>0</v>
      </c>
      <c r="H535" s="276">
        <v>0</v>
      </c>
      <c r="I535" s="276">
        <v>19</v>
      </c>
      <c r="J535" s="276">
        <v>0</v>
      </c>
      <c r="K535" s="276">
        <v>19</v>
      </c>
      <c r="L535" s="276">
        <v>19</v>
      </c>
      <c r="M535" s="277">
        <v>53.2</v>
      </c>
    </row>
    <row r="536" spans="1:13" ht="14.25">
      <c r="A536" s="278">
        <v>11310</v>
      </c>
      <c r="B536" s="279" t="s">
        <v>283</v>
      </c>
      <c r="C536" s="279" t="s">
        <v>304</v>
      </c>
      <c r="D536" s="279" t="s">
        <v>220</v>
      </c>
      <c r="E536" s="280">
        <v>2.8</v>
      </c>
      <c r="F536" s="280" t="s">
        <v>114</v>
      </c>
      <c r="G536" s="280">
        <v>0</v>
      </c>
      <c r="H536" s="280">
        <v>0</v>
      </c>
      <c r="I536" s="280">
        <v>12</v>
      </c>
      <c r="J536" s="280">
        <v>0</v>
      </c>
      <c r="K536" s="280">
        <v>12</v>
      </c>
      <c r="L536" s="280">
        <v>12</v>
      </c>
      <c r="M536" s="281">
        <v>33.6</v>
      </c>
    </row>
    <row r="537" spans="1:13" ht="14.25">
      <c r="A537" s="274">
        <v>11310</v>
      </c>
      <c r="B537" s="275" t="s">
        <v>283</v>
      </c>
      <c r="C537" s="275" t="s">
        <v>305</v>
      </c>
      <c r="D537" s="275" t="s">
        <v>291</v>
      </c>
      <c r="E537" s="276">
        <v>2.8</v>
      </c>
      <c r="F537" s="276" t="s">
        <v>116</v>
      </c>
      <c r="G537" s="276">
        <v>0</v>
      </c>
      <c r="H537" s="276">
        <v>0</v>
      </c>
      <c r="I537" s="276">
        <v>38</v>
      </c>
      <c r="J537" s="276">
        <v>0</v>
      </c>
      <c r="K537" s="276">
        <v>38</v>
      </c>
      <c r="L537" s="276">
        <v>38</v>
      </c>
      <c r="M537" s="277">
        <v>106.4</v>
      </c>
    </row>
    <row r="538" spans="1:13" ht="14.25">
      <c r="A538" s="278">
        <v>11310</v>
      </c>
      <c r="B538" s="279" t="s">
        <v>283</v>
      </c>
      <c r="C538" s="279" t="s">
        <v>305</v>
      </c>
      <c r="D538" s="279" t="s">
        <v>291</v>
      </c>
      <c r="E538" s="280">
        <v>2.8</v>
      </c>
      <c r="F538" s="280" t="s">
        <v>114</v>
      </c>
      <c r="G538" s="280">
        <v>0</v>
      </c>
      <c r="H538" s="280">
        <v>2</v>
      </c>
      <c r="I538" s="280">
        <v>55</v>
      </c>
      <c r="J538" s="280">
        <v>0</v>
      </c>
      <c r="K538" s="280">
        <v>57</v>
      </c>
      <c r="L538" s="280">
        <v>55</v>
      </c>
      <c r="M538" s="281">
        <v>154</v>
      </c>
    </row>
    <row r="539" spans="1:13" ht="14.25">
      <c r="A539" s="274">
        <v>11310</v>
      </c>
      <c r="B539" s="275" t="s">
        <v>283</v>
      </c>
      <c r="C539" s="275" t="s">
        <v>306</v>
      </c>
      <c r="D539" s="275" t="s">
        <v>293</v>
      </c>
      <c r="E539" s="276">
        <v>2.8</v>
      </c>
      <c r="F539" s="276" t="s">
        <v>116</v>
      </c>
      <c r="G539" s="276">
        <v>0</v>
      </c>
      <c r="H539" s="276">
        <v>0</v>
      </c>
      <c r="I539" s="276">
        <v>16</v>
      </c>
      <c r="J539" s="276">
        <v>0</v>
      </c>
      <c r="K539" s="276">
        <v>16</v>
      </c>
      <c r="L539" s="276">
        <v>16</v>
      </c>
      <c r="M539" s="277">
        <v>44.8</v>
      </c>
    </row>
    <row r="540" spans="1:13" ht="14.25">
      <c r="A540" s="278">
        <v>11310</v>
      </c>
      <c r="B540" s="279" t="s">
        <v>283</v>
      </c>
      <c r="C540" s="279" t="s">
        <v>306</v>
      </c>
      <c r="D540" s="279" t="s">
        <v>293</v>
      </c>
      <c r="E540" s="280">
        <v>2.8</v>
      </c>
      <c r="F540" s="280" t="s">
        <v>114</v>
      </c>
      <c r="G540" s="280">
        <v>0</v>
      </c>
      <c r="H540" s="280">
        <v>0</v>
      </c>
      <c r="I540" s="280">
        <v>13</v>
      </c>
      <c r="J540" s="280">
        <v>0</v>
      </c>
      <c r="K540" s="280">
        <v>13</v>
      </c>
      <c r="L540" s="280">
        <v>13</v>
      </c>
      <c r="M540" s="281">
        <v>36.4</v>
      </c>
    </row>
    <row r="541" spans="1:13" ht="14.25">
      <c r="A541" s="274">
        <v>11310</v>
      </c>
      <c r="B541" s="275" t="s">
        <v>283</v>
      </c>
      <c r="C541" s="275" t="s">
        <v>307</v>
      </c>
      <c r="D541" s="275" t="s">
        <v>295</v>
      </c>
      <c r="E541" s="276">
        <v>2.25</v>
      </c>
      <c r="F541" s="276" t="s">
        <v>116</v>
      </c>
      <c r="G541" s="276">
        <v>0</v>
      </c>
      <c r="H541" s="276">
        <v>1</v>
      </c>
      <c r="I541" s="276">
        <v>227</v>
      </c>
      <c r="J541" s="276">
        <v>0</v>
      </c>
      <c r="K541" s="276">
        <v>228</v>
      </c>
      <c r="L541" s="276">
        <v>227</v>
      </c>
      <c r="M541" s="277">
        <v>510.75</v>
      </c>
    </row>
    <row r="542" spans="1:13" ht="14.25">
      <c r="A542" s="278">
        <v>11310</v>
      </c>
      <c r="B542" s="279" t="s">
        <v>283</v>
      </c>
      <c r="C542" s="279" t="s">
        <v>307</v>
      </c>
      <c r="D542" s="279" t="s">
        <v>295</v>
      </c>
      <c r="E542" s="280">
        <v>2.25</v>
      </c>
      <c r="F542" s="280" t="s">
        <v>114</v>
      </c>
      <c r="G542" s="280">
        <v>0</v>
      </c>
      <c r="H542" s="280">
        <v>20</v>
      </c>
      <c r="I542" s="280">
        <v>286</v>
      </c>
      <c r="J542" s="280">
        <v>2</v>
      </c>
      <c r="K542" s="280">
        <v>308</v>
      </c>
      <c r="L542" s="280">
        <v>287</v>
      </c>
      <c r="M542" s="281">
        <v>645.75</v>
      </c>
    </row>
    <row r="543" spans="1:13" ht="14.25">
      <c r="A543" s="274">
        <v>11310</v>
      </c>
      <c r="B543" s="275" t="s">
        <v>283</v>
      </c>
      <c r="C543" s="275" t="s">
        <v>272</v>
      </c>
      <c r="D543" s="275" t="s">
        <v>273</v>
      </c>
      <c r="E543" s="276">
        <v>1.65</v>
      </c>
      <c r="F543" s="276" t="s">
        <v>116</v>
      </c>
      <c r="G543" s="276">
        <v>0</v>
      </c>
      <c r="H543" s="276">
        <v>0</v>
      </c>
      <c r="I543" s="276">
        <v>15</v>
      </c>
      <c r="J543" s="276">
        <v>0</v>
      </c>
      <c r="K543" s="276">
        <v>15</v>
      </c>
      <c r="L543" s="276">
        <v>15</v>
      </c>
      <c r="M543" s="277">
        <v>24.75</v>
      </c>
    </row>
    <row r="544" spans="1:13" ht="14.25">
      <c r="A544" s="278">
        <v>11310</v>
      </c>
      <c r="B544" s="279" t="s">
        <v>283</v>
      </c>
      <c r="C544" s="279" t="s">
        <v>272</v>
      </c>
      <c r="D544" s="279" t="s">
        <v>273</v>
      </c>
      <c r="E544" s="280">
        <v>1.65</v>
      </c>
      <c r="F544" s="280" t="s">
        <v>114</v>
      </c>
      <c r="G544" s="280">
        <v>0</v>
      </c>
      <c r="H544" s="280">
        <v>2</v>
      </c>
      <c r="I544" s="280">
        <v>24</v>
      </c>
      <c r="J544" s="280">
        <v>1</v>
      </c>
      <c r="K544" s="280">
        <v>27</v>
      </c>
      <c r="L544" s="280">
        <v>24.5</v>
      </c>
      <c r="M544" s="281">
        <v>40.43</v>
      </c>
    </row>
    <row r="545" spans="1:13" ht="14.25">
      <c r="A545" s="274">
        <v>11310</v>
      </c>
      <c r="B545" s="275" t="s">
        <v>283</v>
      </c>
      <c r="C545" s="275" t="s">
        <v>667</v>
      </c>
      <c r="D545" s="275" t="s">
        <v>300</v>
      </c>
      <c r="E545" s="276">
        <v>2.25</v>
      </c>
      <c r="F545" s="276" t="s">
        <v>116</v>
      </c>
      <c r="G545" s="276">
        <v>0</v>
      </c>
      <c r="H545" s="276">
        <v>0</v>
      </c>
      <c r="I545" s="276">
        <v>1</v>
      </c>
      <c r="J545" s="276">
        <v>0</v>
      </c>
      <c r="K545" s="276">
        <v>1</v>
      </c>
      <c r="L545" s="276">
        <v>1</v>
      </c>
      <c r="M545" s="277">
        <v>2.25</v>
      </c>
    </row>
    <row r="546" spans="1:13" ht="14.25">
      <c r="A546" s="278">
        <v>11310</v>
      </c>
      <c r="B546" s="279" t="s">
        <v>283</v>
      </c>
      <c r="C546" s="279" t="s">
        <v>668</v>
      </c>
      <c r="D546" s="279" t="s">
        <v>664</v>
      </c>
      <c r="E546" s="280">
        <v>2.25</v>
      </c>
      <c r="F546" s="280" t="s">
        <v>116</v>
      </c>
      <c r="G546" s="280">
        <v>0</v>
      </c>
      <c r="H546" s="280">
        <v>0</v>
      </c>
      <c r="I546" s="280">
        <v>4</v>
      </c>
      <c r="J546" s="280">
        <v>0</v>
      </c>
      <c r="K546" s="280">
        <v>4</v>
      </c>
      <c r="L546" s="280">
        <v>4</v>
      </c>
      <c r="M546" s="281">
        <v>9</v>
      </c>
    </row>
    <row r="547" spans="1:13" ht="14.25">
      <c r="A547" s="274">
        <v>11310</v>
      </c>
      <c r="B547" s="275" t="s">
        <v>283</v>
      </c>
      <c r="C547" s="275" t="s">
        <v>308</v>
      </c>
      <c r="D547" s="275" t="s">
        <v>309</v>
      </c>
      <c r="E547" s="276">
        <v>2.8</v>
      </c>
      <c r="F547" s="276" t="s">
        <v>116</v>
      </c>
      <c r="G547" s="276">
        <v>0</v>
      </c>
      <c r="H547" s="276">
        <v>0</v>
      </c>
      <c r="I547" s="276">
        <v>4</v>
      </c>
      <c r="J547" s="276">
        <v>0</v>
      </c>
      <c r="K547" s="276">
        <v>4</v>
      </c>
      <c r="L547" s="276">
        <v>4</v>
      </c>
      <c r="M547" s="277">
        <v>11.2</v>
      </c>
    </row>
    <row r="548" spans="1:13" ht="14.25">
      <c r="A548" s="278">
        <v>11310</v>
      </c>
      <c r="B548" s="279" t="s">
        <v>283</v>
      </c>
      <c r="C548" s="279" t="s">
        <v>308</v>
      </c>
      <c r="D548" s="279" t="s">
        <v>309</v>
      </c>
      <c r="E548" s="280">
        <v>2.8</v>
      </c>
      <c r="F548" s="280" t="s">
        <v>114</v>
      </c>
      <c r="G548" s="280">
        <v>0</v>
      </c>
      <c r="H548" s="280">
        <v>2</v>
      </c>
      <c r="I548" s="280">
        <v>13</v>
      </c>
      <c r="J548" s="280">
        <v>0</v>
      </c>
      <c r="K548" s="280">
        <v>15</v>
      </c>
      <c r="L548" s="280">
        <v>13</v>
      </c>
      <c r="M548" s="281">
        <v>36.4</v>
      </c>
    </row>
    <row r="549" spans="1:13" ht="14.25">
      <c r="A549" s="274">
        <v>11310</v>
      </c>
      <c r="B549" s="275" t="s">
        <v>283</v>
      </c>
      <c r="C549" s="275" t="s">
        <v>310</v>
      </c>
      <c r="D549" s="275" t="s">
        <v>285</v>
      </c>
      <c r="E549" s="276">
        <v>2.25</v>
      </c>
      <c r="F549" s="276" t="s">
        <v>119</v>
      </c>
      <c r="G549" s="276">
        <v>0</v>
      </c>
      <c r="H549" s="276">
        <v>1</v>
      </c>
      <c r="I549" s="276">
        <v>7</v>
      </c>
      <c r="J549" s="276">
        <v>0</v>
      </c>
      <c r="K549" s="276">
        <v>8</v>
      </c>
      <c r="L549" s="276">
        <v>7</v>
      </c>
      <c r="M549" s="277">
        <v>15.75</v>
      </c>
    </row>
    <row r="550" spans="1:13" ht="14.25">
      <c r="A550" s="278">
        <v>11310</v>
      </c>
      <c r="B550" s="279" t="s">
        <v>283</v>
      </c>
      <c r="C550" s="279" t="s">
        <v>310</v>
      </c>
      <c r="D550" s="279" t="s">
        <v>285</v>
      </c>
      <c r="E550" s="280">
        <v>2.25</v>
      </c>
      <c r="F550" s="280" t="s">
        <v>122</v>
      </c>
      <c r="G550" s="280">
        <v>0</v>
      </c>
      <c r="H550" s="280">
        <v>15</v>
      </c>
      <c r="I550" s="280">
        <v>32</v>
      </c>
      <c r="J550" s="280">
        <v>1</v>
      </c>
      <c r="K550" s="280">
        <v>48</v>
      </c>
      <c r="L550" s="280">
        <v>32.5</v>
      </c>
      <c r="M550" s="281">
        <v>73.13</v>
      </c>
    </row>
    <row r="551" spans="1:13" ht="14.25">
      <c r="A551" s="274">
        <v>11310</v>
      </c>
      <c r="B551" s="275" t="s">
        <v>283</v>
      </c>
      <c r="C551" s="275" t="s">
        <v>311</v>
      </c>
      <c r="D551" s="275" t="s">
        <v>312</v>
      </c>
      <c r="E551" s="276">
        <v>2.25</v>
      </c>
      <c r="F551" s="276" t="s">
        <v>119</v>
      </c>
      <c r="G551" s="276">
        <v>0</v>
      </c>
      <c r="H551" s="276">
        <v>1</v>
      </c>
      <c r="I551" s="276">
        <v>6</v>
      </c>
      <c r="J551" s="276">
        <v>0</v>
      </c>
      <c r="K551" s="276">
        <v>7</v>
      </c>
      <c r="L551" s="276">
        <v>6</v>
      </c>
      <c r="M551" s="277">
        <v>13.5</v>
      </c>
    </row>
    <row r="552" spans="1:13" ht="14.25">
      <c r="A552" s="278">
        <v>11310</v>
      </c>
      <c r="B552" s="279" t="s">
        <v>283</v>
      </c>
      <c r="C552" s="279" t="s">
        <v>311</v>
      </c>
      <c r="D552" s="279" t="s">
        <v>312</v>
      </c>
      <c r="E552" s="280">
        <v>2.25</v>
      </c>
      <c r="F552" s="280" t="s">
        <v>122</v>
      </c>
      <c r="G552" s="280">
        <v>0</v>
      </c>
      <c r="H552" s="280">
        <v>13</v>
      </c>
      <c r="I552" s="280">
        <v>27</v>
      </c>
      <c r="J552" s="280">
        <v>0</v>
      </c>
      <c r="K552" s="280">
        <v>40</v>
      </c>
      <c r="L552" s="280">
        <v>27</v>
      </c>
      <c r="M552" s="281">
        <v>60.75</v>
      </c>
    </row>
    <row r="553" spans="1:13" ht="14.25">
      <c r="A553" s="274">
        <v>11310</v>
      </c>
      <c r="B553" s="275" t="s">
        <v>283</v>
      </c>
      <c r="C553" s="275" t="s">
        <v>73</v>
      </c>
      <c r="D553" s="275" t="s">
        <v>74</v>
      </c>
      <c r="E553" s="276">
        <v>1.65</v>
      </c>
      <c r="F553" s="276" t="s">
        <v>119</v>
      </c>
      <c r="G553" s="276">
        <v>0</v>
      </c>
      <c r="H553" s="276">
        <v>0</v>
      </c>
      <c r="I553" s="276">
        <v>4</v>
      </c>
      <c r="J553" s="276">
        <v>0</v>
      </c>
      <c r="K553" s="276">
        <v>4</v>
      </c>
      <c r="L553" s="276">
        <v>4</v>
      </c>
      <c r="M553" s="277">
        <v>6.6</v>
      </c>
    </row>
    <row r="554" spans="1:13" ht="14.25">
      <c r="A554" s="278">
        <v>11310</v>
      </c>
      <c r="B554" s="279" t="s">
        <v>283</v>
      </c>
      <c r="C554" s="279" t="s">
        <v>73</v>
      </c>
      <c r="D554" s="279" t="s">
        <v>74</v>
      </c>
      <c r="E554" s="280">
        <v>1.65</v>
      </c>
      <c r="F554" s="280" t="s">
        <v>122</v>
      </c>
      <c r="G554" s="280">
        <v>0</v>
      </c>
      <c r="H554" s="280">
        <v>4</v>
      </c>
      <c r="I554" s="280">
        <v>22</v>
      </c>
      <c r="J554" s="280">
        <v>0</v>
      </c>
      <c r="K554" s="280">
        <v>26</v>
      </c>
      <c r="L554" s="280">
        <v>22</v>
      </c>
      <c r="M554" s="281">
        <v>36.3</v>
      </c>
    </row>
    <row r="555" spans="1:13" ht="14.25">
      <c r="A555" s="274">
        <v>11310</v>
      </c>
      <c r="B555" s="275" t="s">
        <v>283</v>
      </c>
      <c r="C555" s="275" t="s">
        <v>313</v>
      </c>
      <c r="D555" s="275" t="s">
        <v>314</v>
      </c>
      <c r="E555" s="276">
        <v>1.65</v>
      </c>
      <c r="F555" s="276" t="s">
        <v>119</v>
      </c>
      <c r="G555" s="276">
        <v>0</v>
      </c>
      <c r="H555" s="276">
        <v>0</v>
      </c>
      <c r="I555" s="276">
        <v>7</v>
      </c>
      <c r="J555" s="276">
        <v>0</v>
      </c>
      <c r="K555" s="276">
        <v>7</v>
      </c>
      <c r="L555" s="276">
        <v>7</v>
      </c>
      <c r="M555" s="277">
        <v>11.55</v>
      </c>
    </row>
    <row r="556" spans="1:13" ht="14.25">
      <c r="A556" s="278">
        <v>11310</v>
      </c>
      <c r="B556" s="279" t="s">
        <v>283</v>
      </c>
      <c r="C556" s="279" t="s">
        <v>313</v>
      </c>
      <c r="D556" s="279" t="s">
        <v>314</v>
      </c>
      <c r="E556" s="280">
        <v>1.65</v>
      </c>
      <c r="F556" s="280" t="s">
        <v>122</v>
      </c>
      <c r="G556" s="280">
        <v>0</v>
      </c>
      <c r="H556" s="280">
        <v>14</v>
      </c>
      <c r="I556" s="280">
        <v>28</v>
      </c>
      <c r="J556" s="280">
        <v>0</v>
      </c>
      <c r="K556" s="280">
        <v>42</v>
      </c>
      <c r="L556" s="280">
        <v>28</v>
      </c>
      <c r="M556" s="281">
        <v>46.2</v>
      </c>
    </row>
    <row r="557" spans="1:13" ht="14.25">
      <c r="A557" s="274">
        <v>11310</v>
      </c>
      <c r="B557" s="275" t="s">
        <v>283</v>
      </c>
      <c r="C557" s="275" t="s">
        <v>315</v>
      </c>
      <c r="D557" s="275" t="s">
        <v>316</v>
      </c>
      <c r="E557" s="276">
        <v>1.65</v>
      </c>
      <c r="F557" s="276" t="s">
        <v>119</v>
      </c>
      <c r="G557" s="276">
        <v>0</v>
      </c>
      <c r="H557" s="276">
        <v>0</v>
      </c>
      <c r="I557" s="276">
        <v>2</v>
      </c>
      <c r="J557" s="276">
        <v>0</v>
      </c>
      <c r="K557" s="276">
        <v>2</v>
      </c>
      <c r="L557" s="276">
        <v>2</v>
      </c>
      <c r="M557" s="277">
        <v>3.3</v>
      </c>
    </row>
    <row r="558" spans="1:13" ht="14.25">
      <c r="A558" s="278">
        <v>11310</v>
      </c>
      <c r="B558" s="279" t="s">
        <v>283</v>
      </c>
      <c r="C558" s="279" t="s">
        <v>315</v>
      </c>
      <c r="D558" s="279" t="s">
        <v>316</v>
      </c>
      <c r="E558" s="280">
        <v>1.65</v>
      </c>
      <c r="F558" s="280" t="s">
        <v>122</v>
      </c>
      <c r="G558" s="280">
        <v>0</v>
      </c>
      <c r="H558" s="280">
        <v>4</v>
      </c>
      <c r="I558" s="280">
        <v>14</v>
      </c>
      <c r="J558" s="280">
        <v>0</v>
      </c>
      <c r="K558" s="280">
        <v>18</v>
      </c>
      <c r="L558" s="280">
        <v>14</v>
      </c>
      <c r="M558" s="281">
        <v>23.1</v>
      </c>
    </row>
    <row r="559" spans="1:13" ht="14.25">
      <c r="A559" s="274">
        <v>11310</v>
      </c>
      <c r="B559" s="275" t="s">
        <v>283</v>
      </c>
      <c r="C559" s="275" t="s">
        <v>317</v>
      </c>
      <c r="D559" s="275" t="s">
        <v>318</v>
      </c>
      <c r="E559" s="276">
        <v>1.65</v>
      </c>
      <c r="F559" s="276" t="s">
        <v>119</v>
      </c>
      <c r="G559" s="276">
        <v>0</v>
      </c>
      <c r="H559" s="276">
        <v>0</v>
      </c>
      <c r="I559" s="276">
        <v>9</v>
      </c>
      <c r="J559" s="276">
        <v>0</v>
      </c>
      <c r="K559" s="276">
        <v>9</v>
      </c>
      <c r="L559" s="276">
        <v>9</v>
      </c>
      <c r="M559" s="277">
        <v>14.85</v>
      </c>
    </row>
    <row r="560" spans="1:13" ht="14.25">
      <c r="A560" s="278">
        <v>11310</v>
      </c>
      <c r="B560" s="279" t="s">
        <v>283</v>
      </c>
      <c r="C560" s="279" t="s">
        <v>317</v>
      </c>
      <c r="D560" s="279" t="s">
        <v>318</v>
      </c>
      <c r="E560" s="280">
        <v>1.65</v>
      </c>
      <c r="F560" s="280" t="s">
        <v>122</v>
      </c>
      <c r="G560" s="280">
        <v>0</v>
      </c>
      <c r="H560" s="280">
        <v>13</v>
      </c>
      <c r="I560" s="280">
        <v>20</v>
      </c>
      <c r="J560" s="280">
        <v>0</v>
      </c>
      <c r="K560" s="280">
        <v>33</v>
      </c>
      <c r="L560" s="280">
        <v>20</v>
      </c>
      <c r="M560" s="281">
        <v>33</v>
      </c>
    </row>
    <row r="561" spans="1:13" ht="14.25">
      <c r="A561" s="274">
        <v>11310</v>
      </c>
      <c r="B561" s="275" t="s">
        <v>283</v>
      </c>
      <c r="C561" s="275" t="s">
        <v>319</v>
      </c>
      <c r="D561" s="275" t="s">
        <v>320</v>
      </c>
      <c r="E561" s="276">
        <v>1.65</v>
      </c>
      <c r="F561" s="276" t="s">
        <v>119</v>
      </c>
      <c r="G561" s="276">
        <v>0</v>
      </c>
      <c r="H561" s="276">
        <v>0</v>
      </c>
      <c r="I561" s="276">
        <v>1</v>
      </c>
      <c r="J561" s="276">
        <v>0</v>
      </c>
      <c r="K561" s="276">
        <v>1</v>
      </c>
      <c r="L561" s="276">
        <v>1</v>
      </c>
      <c r="M561" s="277">
        <v>1.65</v>
      </c>
    </row>
    <row r="562" spans="1:13" ht="14.25">
      <c r="A562" s="278">
        <v>11310</v>
      </c>
      <c r="B562" s="279" t="s">
        <v>283</v>
      </c>
      <c r="C562" s="279" t="s">
        <v>319</v>
      </c>
      <c r="D562" s="279" t="s">
        <v>320</v>
      </c>
      <c r="E562" s="280">
        <v>1.65</v>
      </c>
      <c r="F562" s="280" t="s">
        <v>122</v>
      </c>
      <c r="G562" s="280">
        <v>0</v>
      </c>
      <c r="H562" s="280">
        <v>6</v>
      </c>
      <c r="I562" s="280">
        <v>4</v>
      </c>
      <c r="J562" s="280">
        <v>0</v>
      </c>
      <c r="K562" s="280">
        <v>10</v>
      </c>
      <c r="L562" s="280">
        <v>4</v>
      </c>
      <c r="M562" s="281">
        <v>6.6</v>
      </c>
    </row>
    <row r="563" spans="1:13" ht="14.25">
      <c r="A563" s="274">
        <v>11310</v>
      </c>
      <c r="B563" s="275" t="s">
        <v>283</v>
      </c>
      <c r="C563" s="275" t="s">
        <v>321</v>
      </c>
      <c r="D563" s="275" t="s">
        <v>322</v>
      </c>
      <c r="E563" s="276">
        <v>1.65</v>
      </c>
      <c r="F563" s="276" t="s">
        <v>119</v>
      </c>
      <c r="G563" s="276">
        <v>0</v>
      </c>
      <c r="H563" s="276">
        <v>0</v>
      </c>
      <c r="I563" s="276">
        <v>3</v>
      </c>
      <c r="J563" s="276">
        <v>0</v>
      </c>
      <c r="K563" s="276">
        <v>3</v>
      </c>
      <c r="L563" s="276">
        <v>3</v>
      </c>
      <c r="M563" s="277">
        <v>4.95</v>
      </c>
    </row>
    <row r="564" spans="1:13" ht="14.25">
      <c r="A564" s="278">
        <v>11310</v>
      </c>
      <c r="B564" s="279" t="s">
        <v>283</v>
      </c>
      <c r="C564" s="279" t="s">
        <v>321</v>
      </c>
      <c r="D564" s="279" t="s">
        <v>322</v>
      </c>
      <c r="E564" s="280">
        <v>1.65</v>
      </c>
      <c r="F564" s="280" t="s">
        <v>122</v>
      </c>
      <c r="G564" s="280">
        <v>0</v>
      </c>
      <c r="H564" s="280">
        <v>6</v>
      </c>
      <c r="I564" s="280">
        <v>12</v>
      </c>
      <c r="J564" s="280">
        <v>0</v>
      </c>
      <c r="K564" s="280">
        <v>18</v>
      </c>
      <c r="L564" s="280">
        <v>12</v>
      </c>
      <c r="M564" s="281">
        <v>19.8</v>
      </c>
    </row>
    <row r="565" spans="1:13" ht="14.25">
      <c r="A565" s="274">
        <v>11310</v>
      </c>
      <c r="B565" s="275" t="s">
        <v>283</v>
      </c>
      <c r="C565" s="275" t="s">
        <v>323</v>
      </c>
      <c r="D565" s="275" t="s">
        <v>324</v>
      </c>
      <c r="E565" s="276">
        <v>2.8</v>
      </c>
      <c r="F565" s="276" t="s">
        <v>119</v>
      </c>
      <c r="G565" s="276">
        <v>0</v>
      </c>
      <c r="H565" s="276">
        <v>0</v>
      </c>
      <c r="I565" s="276">
        <v>4</v>
      </c>
      <c r="J565" s="276">
        <v>0</v>
      </c>
      <c r="K565" s="276">
        <v>4</v>
      </c>
      <c r="L565" s="276">
        <v>4</v>
      </c>
      <c r="M565" s="277">
        <v>11.2</v>
      </c>
    </row>
    <row r="566" spans="1:13" ht="14.25">
      <c r="A566" s="278">
        <v>11310</v>
      </c>
      <c r="B566" s="279" t="s">
        <v>283</v>
      </c>
      <c r="C566" s="279" t="s">
        <v>323</v>
      </c>
      <c r="D566" s="279" t="s">
        <v>324</v>
      </c>
      <c r="E566" s="280">
        <v>2.8</v>
      </c>
      <c r="F566" s="280" t="s">
        <v>122</v>
      </c>
      <c r="G566" s="280">
        <v>0</v>
      </c>
      <c r="H566" s="280">
        <v>6</v>
      </c>
      <c r="I566" s="280">
        <v>12</v>
      </c>
      <c r="J566" s="280">
        <v>0</v>
      </c>
      <c r="K566" s="280">
        <v>18</v>
      </c>
      <c r="L566" s="280">
        <v>12</v>
      </c>
      <c r="M566" s="281">
        <v>33.6</v>
      </c>
    </row>
    <row r="567" spans="1:13" ht="14.25">
      <c r="A567" s="274">
        <v>11310</v>
      </c>
      <c r="B567" s="275" t="s">
        <v>283</v>
      </c>
      <c r="C567" s="275" t="s">
        <v>217</v>
      </c>
      <c r="D567" s="275" t="s">
        <v>218</v>
      </c>
      <c r="E567" s="276">
        <v>2.8</v>
      </c>
      <c r="F567" s="276" t="s">
        <v>119</v>
      </c>
      <c r="G567" s="276">
        <v>0</v>
      </c>
      <c r="H567" s="276">
        <v>0</v>
      </c>
      <c r="I567" s="276">
        <v>15</v>
      </c>
      <c r="J567" s="276">
        <v>0</v>
      </c>
      <c r="K567" s="276">
        <v>15</v>
      </c>
      <c r="L567" s="276">
        <v>15</v>
      </c>
      <c r="M567" s="277">
        <v>42</v>
      </c>
    </row>
    <row r="568" spans="1:13" ht="14.25">
      <c r="A568" s="278">
        <v>11310</v>
      </c>
      <c r="B568" s="279" t="s">
        <v>283</v>
      </c>
      <c r="C568" s="279" t="s">
        <v>217</v>
      </c>
      <c r="D568" s="279" t="s">
        <v>218</v>
      </c>
      <c r="E568" s="280">
        <v>2.8</v>
      </c>
      <c r="F568" s="280" t="s">
        <v>122</v>
      </c>
      <c r="G568" s="280">
        <v>0</v>
      </c>
      <c r="H568" s="280">
        <v>9</v>
      </c>
      <c r="I568" s="280">
        <v>43</v>
      </c>
      <c r="J568" s="280">
        <v>1</v>
      </c>
      <c r="K568" s="280">
        <v>53</v>
      </c>
      <c r="L568" s="280">
        <v>43.5</v>
      </c>
      <c r="M568" s="281">
        <v>121.8</v>
      </c>
    </row>
    <row r="569" spans="1:13" ht="14.25">
      <c r="A569" s="274">
        <v>11310</v>
      </c>
      <c r="B569" s="275" t="s">
        <v>283</v>
      </c>
      <c r="C569" s="275" t="s">
        <v>325</v>
      </c>
      <c r="D569" s="275" t="s">
        <v>326</v>
      </c>
      <c r="E569" s="276">
        <v>2.8</v>
      </c>
      <c r="F569" s="276" t="s">
        <v>119</v>
      </c>
      <c r="G569" s="276">
        <v>0</v>
      </c>
      <c r="H569" s="276">
        <v>0</v>
      </c>
      <c r="I569" s="276">
        <v>7</v>
      </c>
      <c r="J569" s="276">
        <v>0</v>
      </c>
      <c r="K569" s="276">
        <v>7</v>
      </c>
      <c r="L569" s="276">
        <v>7</v>
      </c>
      <c r="M569" s="277">
        <v>19.6</v>
      </c>
    </row>
    <row r="570" spans="1:13" ht="14.25">
      <c r="A570" s="278">
        <v>11310</v>
      </c>
      <c r="B570" s="279" t="s">
        <v>283</v>
      </c>
      <c r="C570" s="279" t="s">
        <v>325</v>
      </c>
      <c r="D570" s="279" t="s">
        <v>326</v>
      </c>
      <c r="E570" s="280">
        <v>2.8</v>
      </c>
      <c r="F570" s="280" t="s">
        <v>122</v>
      </c>
      <c r="G570" s="280">
        <v>0</v>
      </c>
      <c r="H570" s="280">
        <v>16</v>
      </c>
      <c r="I570" s="280">
        <v>31</v>
      </c>
      <c r="J570" s="280">
        <v>0</v>
      </c>
      <c r="K570" s="280">
        <v>47</v>
      </c>
      <c r="L570" s="280">
        <v>31</v>
      </c>
      <c r="M570" s="281">
        <v>86.8</v>
      </c>
    </row>
    <row r="571" spans="1:13" ht="14.25">
      <c r="A571" s="274">
        <v>11310</v>
      </c>
      <c r="B571" s="275" t="s">
        <v>283</v>
      </c>
      <c r="C571" s="275" t="s">
        <v>327</v>
      </c>
      <c r="D571" s="275" t="s">
        <v>328</v>
      </c>
      <c r="E571" s="276">
        <v>2.8</v>
      </c>
      <c r="F571" s="276" t="s">
        <v>119</v>
      </c>
      <c r="G571" s="276">
        <v>0</v>
      </c>
      <c r="H571" s="276">
        <v>0</v>
      </c>
      <c r="I571" s="276">
        <v>12</v>
      </c>
      <c r="J571" s="276">
        <v>0</v>
      </c>
      <c r="K571" s="276">
        <v>12</v>
      </c>
      <c r="L571" s="276">
        <v>12</v>
      </c>
      <c r="M571" s="277">
        <v>33.6</v>
      </c>
    </row>
    <row r="572" spans="1:13" ht="14.25">
      <c r="A572" s="278">
        <v>11310</v>
      </c>
      <c r="B572" s="279" t="s">
        <v>283</v>
      </c>
      <c r="C572" s="279" t="s">
        <v>327</v>
      </c>
      <c r="D572" s="279" t="s">
        <v>328</v>
      </c>
      <c r="E572" s="280">
        <v>2.8</v>
      </c>
      <c r="F572" s="280" t="s">
        <v>122</v>
      </c>
      <c r="G572" s="280">
        <v>0</v>
      </c>
      <c r="H572" s="280">
        <v>6</v>
      </c>
      <c r="I572" s="280">
        <v>27</v>
      </c>
      <c r="J572" s="280">
        <v>0</v>
      </c>
      <c r="K572" s="280">
        <v>33</v>
      </c>
      <c r="L572" s="280">
        <v>27</v>
      </c>
      <c r="M572" s="281">
        <v>75.6</v>
      </c>
    </row>
    <row r="573" spans="1:13" ht="14.25">
      <c r="A573" s="274">
        <v>11310</v>
      </c>
      <c r="B573" s="275" t="s">
        <v>283</v>
      </c>
      <c r="C573" s="275" t="s">
        <v>329</v>
      </c>
      <c r="D573" s="275" t="s">
        <v>330</v>
      </c>
      <c r="E573" s="276">
        <v>2.8</v>
      </c>
      <c r="F573" s="276" t="s">
        <v>119</v>
      </c>
      <c r="G573" s="276">
        <v>0</v>
      </c>
      <c r="H573" s="276">
        <v>0</v>
      </c>
      <c r="I573" s="276">
        <v>8</v>
      </c>
      <c r="J573" s="276">
        <v>0</v>
      </c>
      <c r="K573" s="276">
        <v>8</v>
      </c>
      <c r="L573" s="276">
        <v>8</v>
      </c>
      <c r="M573" s="277">
        <v>22.4</v>
      </c>
    </row>
    <row r="574" spans="1:13" ht="14.25">
      <c r="A574" s="278">
        <v>11310</v>
      </c>
      <c r="B574" s="279" t="s">
        <v>283</v>
      </c>
      <c r="C574" s="279" t="s">
        <v>329</v>
      </c>
      <c r="D574" s="279" t="s">
        <v>330</v>
      </c>
      <c r="E574" s="280">
        <v>2.8</v>
      </c>
      <c r="F574" s="280" t="s">
        <v>122</v>
      </c>
      <c r="G574" s="280">
        <v>0</v>
      </c>
      <c r="H574" s="280">
        <v>7</v>
      </c>
      <c r="I574" s="280">
        <v>14</v>
      </c>
      <c r="J574" s="280">
        <v>0</v>
      </c>
      <c r="K574" s="280">
        <v>21</v>
      </c>
      <c r="L574" s="280">
        <v>14</v>
      </c>
      <c r="M574" s="281">
        <v>39.2</v>
      </c>
    </row>
    <row r="575" spans="1:13" ht="14.25">
      <c r="A575" s="274">
        <v>11310</v>
      </c>
      <c r="B575" s="275" t="s">
        <v>283</v>
      </c>
      <c r="C575" s="275" t="s">
        <v>219</v>
      </c>
      <c r="D575" s="275" t="s">
        <v>220</v>
      </c>
      <c r="E575" s="276">
        <v>2.8</v>
      </c>
      <c r="F575" s="276" t="s">
        <v>119</v>
      </c>
      <c r="G575" s="276">
        <v>0</v>
      </c>
      <c r="H575" s="276">
        <v>0</v>
      </c>
      <c r="I575" s="276">
        <v>3</v>
      </c>
      <c r="J575" s="276">
        <v>0</v>
      </c>
      <c r="K575" s="276">
        <v>3</v>
      </c>
      <c r="L575" s="276">
        <v>3</v>
      </c>
      <c r="M575" s="277">
        <v>8.4</v>
      </c>
    </row>
    <row r="576" spans="1:13" ht="14.25">
      <c r="A576" s="278">
        <v>11310</v>
      </c>
      <c r="B576" s="279" t="s">
        <v>283</v>
      </c>
      <c r="C576" s="279" t="s">
        <v>219</v>
      </c>
      <c r="D576" s="279" t="s">
        <v>220</v>
      </c>
      <c r="E576" s="280">
        <v>2.8</v>
      </c>
      <c r="F576" s="280" t="s">
        <v>122</v>
      </c>
      <c r="G576" s="280">
        <v>0</v>
      </c>
      <c r="H576" s="280">
        <v>9</v>
      </c>
      <c r="I576" s="280">
        <v>33</v>
      </c>
      <c r="J576" s="280">
        <v>1</v>
      </c>
      <c r="K576" s="280">
        <v>43</v>
      </c>
      <c r="L576" s="280">
        <v>33.5</v>
      </c>
      <c r="M576" s="281">
        <v>93.8</v>
      </c>
    </row>
    <row r="577" spans="1:13" ht="14.25">
      <c r="A577" s="274">
        <v>11310</v>
      </c>
      <c r="B577" s="275" t="s">
        <v>283</v>
      </c>
      <c r="C577" s="275" t="s">
        <v>331</v>
      </c>
      <c r="D577" s="275" t="s">
        <v>332</v>
      </c>
      <c r="E577" s="276">
        <v>1.2</v>
      </c>
      <c r="F577" s="276" t="s">
        <v>122</v>
      </c>
      <c r="G577" s="276">
        <v>0</v>
      </c>
      <c r="H577" s="276">
        <v>3</v>
      </c>
      <c r="I577" s="276">
        <v>0</v>
      </c>
      <c r="J577" s="276">
        <v>0</v>
      </c>
      <c r="K577" s="276">
        <v>3</v>
      </c>
      <c r="L577" s="276">
        <v>0</v>
      </c>
      <c r="M577" s="277">
        <v>0</v>
      </c>
    </row>
    <row r="578" spans="1:13" ht="14.25">
      <c r="A578" s="278">
        <v>11310</v>
      </c>
      <c r="B578" s="279" t="s">
        <v>283</v>
      </c>
      <c r="C578" s="279" t="s">
        <v>333</v>
      </c>
      <c r="D578" s="279" t="s">
        <v>334</v>
      </c>
      <c r="E578" s="280">
        <v>2.8</v>
      </c>
      <c r="F578" s="280" t="s">
        <v>119</v>
      </c>
      <c r="G578" s="280">
        <v>0</v>
      </c>
      <c r="H578" s="280">
        <v>0</v>
      </c>
      <c r="I578" s="280">
        <v>7</v>
      </c>
      <c r="J578" s="280">
        <v>0</v>
      </c>
      <c r="K578" s="280">
        <v>7</v>
      </c>
      <c r="L578" s="280">
        <v>7</v>
      </c>
      <c r="M578" s="281">
        <v>19.6</v>
      </c>
    </row>
    <row r="579" spans="1:13" ht="14.25">
      <c r="A579" s="274">
        <v>11310</v>
      </c>
      <c r="B579" s="275" t="s">
        <v>283</v>
      </c>
      <c r="C579" s="275" t="s">
        <v>333</v>
      </c>
      <c r="D579" s="275" t="s">
        <v>334</v>
      </c>
      <c r="E579" s="276">
        <v>2.8</v>
      </c>
      <c r="F579" s="276" t="s">
        <v>122</v>
      </c>
      <c r="G579" s="276">
        <v>0</v>
      </c>
      <c r="H579" s="276">
        <v>2</v>
      </c>
      <c r="I579" s="276">
        <v>6</v>
      </c>
      <c r="J579" s="276">
        <v>0</v>
      </c>
      <c r="K579" s="276">
        <v>8</v>
      </c>
      <c r="L579" s="276">
        <v>6</v>
      </c>
      <c r="M579" s="277">
        <v>16.8</v>
      </c>
    </row>
    <row r="580" spans="1:13" ht="14.25">
      <c r="A580" s="278">
        <v>11310</v>
      </c>
      <c r="B580" s="279" t="s">
        <v>283</v>
      </c>
      <c r="C580" s="279" t="s">
        <v>335</v>
      </c>
      <c r="D580" s="279" t="s">
        <v>336</v>
      </c>
      <c r="E580" s="280">
        <v>1.2</v>
      </c>
      <c r="F580" s="280" t="s">
        <v>119</v>
      </c>
      <c r="G580" s="280">
        <v>0</v>
      </c>
      <c r="H580" s="280">
        <v>0</v>
      </c>
      <c r="I580" s="280">
        <v>5</v>
      </c>
      <c r="J580" s="280">
        <v>0</v>
      </c>
      <c r="K580" s="280">
        <v>5</v>
      </c>
      <c r="L580" s="280">
        <v>5</v>
      </c>
      <c r="M580" s="281">
        <v>6</v>
      </c>
    </row>
    <row r="581" spans="1:13" ht="14.25">
      <c r="A581" s="274">
        <v>11310</v>
      </c>
      <c r="B581" s="275" t="s">
        <v>283</v>
      </c>
      <c r="C581" s="275" t="s">
        <v>335</v>
      </c>
      <c r="D581" s="275" t="s">
        <v>336</v>
      </c>
      <c r="E581" s="276">
        <v>1.2</v>
      </c>
      <c r="F581" s="276" t="s">
        <v>122</v>
      </c>
      <c r="G581" s="276">
        <v>0</v>
      </c>
      <c r="H581" s="276">
        <v>2</v>
      </c>
      <c r="I581" s="276">
        <v>15</v>
      </c>
      <c r="J581" s="276">
        <v>0</v>
      </c>
      <c r="K581" s="276">
        <v>17</v>
      </c>
      <c r="L581" s="276">
        <v>15</v>
      </c>
      <c r="M581" s="277">
        <v>18</v>
      </c>
    </row>
    <row r="582" spans="1:13" ht="14.25">
      <c r="A582" s="278">
        <v>11310</v>
      </c>
      <c r="B582" s="279" t="s">
        <v>283</v>
      </c>
      <c r="C582" s="279" t="s">
        <v>337</v>
      </c>
      <c r="D582" s="279" t="s">
        <v>338</v>
      </c>
      <c r="E582" s="280">
        <v>2.25</v>
      </c>
      <c r="F582" s="280" t="s">
        <v>119</v>
      </c>
      <c r="G582" s="280">
        <v>0</v>
      </c>
      <c r="H582" s="280">
        <v>0</v>
      </c>
      <c r="I582" s="280">
        <v>20</v>
      </c>
      <c r="J582" s="280">
        <v>0</v>
      </c>
      <c r="K582" s="280">
        <v>20</v>
      </c>
      <c r="L582" s="280">
        <v>20</v>
      </c>
      <c r="M582" s="281">
        <v>45</v>
      </c>
    </row>
    <row r="583" spans="1:13" ht="14.25">
      <c r="A583" s="274">
        <v>11310</v>
      </c>
      <c r="B583" s="275" t="s">
        <v>283</v>
      </c>
      <c r="C583" s="275" t="s">
        <v>337</v>
      </c>
      <c r="D583" s="275" t="s">
        <v>338</v>
      </c>
      <c r="E583" s="276">
        <v>2.25</v>
      </c>
      <c r="F583" s="276" t="s">
        <v>122</v>
      </c>
      <c r="G583" s="276">
        <v>0</v>
      </c>
      <c r="H583" s="276">
        <v>39</v>
      </c>
      <c r="I583" s="276">
        <v>55</v>
      </c>
      <c r="J583" s="276">
        <v>0</v>
      </c>
      <c r="K583" s="276">
        <v>94</v>
      </c>
      <c r="L583" s="276">
        <v>55</v>
      </c>
      <c r="M583" s="277">
        <v>123.75</v>
      </c>
    </row>
    <row r="584" spans="1:13" ht="14.25">
      <c r="A584" s="278">
        <v>11310</v>
      </c>
      <c r="B584" s="279" t="s">
        <v>283</v>
      </c>
      <c r="C584" s="279" t="s">
        <v>339</v>
      </c>
      <c r="D584" s="279" t="s">
        <v>340</v>
      </c>
      <c r="E584" s="280">
        <v>2.25</v>
      </c>
      <c r="F584" s="280" t="s">
        <v>119</v>
      </c>
      <c r="G584" s="280">
        <v>0</v>
      </c>
      <c r="H584" s="280">
        <v>0</v>
      </c>
      <c r="I584" s="280">
        <v>17</v>
      </c>
      <c r="J584" s="280">
        <v>0</v>
      </c>
      <c r="K584" s="280">
        <v>17</v>
      </c>
      <c r="L584" s="280">
        <v>17</v>
      </c>
      <c r="M584" s="281">
        <v>38.25</v>
      </c>
    </row>
    <row r="585" spans="1:13" ht="14.25">
      <c r="A585" s="274">
        <v>11310</v>
      </c>
      <c r="B585" s="275" t="s">
        <v>283</v>
      </c>
      <c r="C585" s="275" t="s">
        <v>339</v>
      </c>
      <c r="D585" s="275" t="s">
        <v>340</v>
      </c>
      <c r="E585" s="276">
        <v>2.25</v>
      </c>
      <c r="F585" s="276" t="s">
        <v>122</v>
      </c>
      <c r="G585" s="276">
        <v>0</v>
      </c>
      <c r="H585" s="276">
        <v>28</v>
      </c>
      <c r="I585" s="276">
        <v>39</v>
      </c>
      <c r="J585" s="276">
        <v>0</v>
      </c>
      <c r="K585" s="276">
        <v>67</v>
      </c>
      <c r="L585" s="276">
        <v>39</v>
      </c>
      <c r="M585" s="277">
        <v>87.75</v>
      </c>
    </row>
    <row r="586" spans="1:13" ht="14.25">
      <c r="A586" s="278">
        <v>11310</v>
      </c>
      <c r="B586" s="279" t="s">
        <v>283</v>
      </c>
      <c r="C586" s="279" t="s">
        <v>75</v>
      </c>
      <c r="D586" s="279" t="s">
        <v>76</v>
      </c>
      <c r="E586" s="280">
        <v>2.8</v>
      </c>
      <c r="F586" s="280" t="s">
        <v>119</v>
      </c>
      <c r="G586" s="280">
        <v>0</v>
      </c>
      <c r="H586" s="280">
        <v>0</v>
      </c>
      <c r="I586" s="280">
        <v>4</v>
      </c>
      <c r="J586" s="280">
        <v>0</v>
      </c>
      <c r="K586" s="280">
        <v>4</v>
      </c>
      <c r="L586" s="280">
        <v>4</v>
      </c>
      <c r="M586" s="281">
        <v>11.2</v>
      </c>
    </row>
    <row r="587" spans="1:13" ht="14.25">
      <c r="A587" s="274">
        <v>11310</v>
      </c>
      <c r="B587" s="275" t="s">
        <v>283</v>
      </c>
      <c r="C587" s="275" t="s">
        <v>75</v>
      </c>
      <c r="D587" s="275" t="s">
        <v>76</v>
      </c>
      <c r="E587" s="276">
        <v>2.8</v>
      </c>
      <c r="F587" s="276" t="s">
        <v>122</v>
      </c>
      <c r="G587" s="276">
        <v>0</v>
      </c>
      <c r="H587" s="276">
        <v>12</v>
      </c>
      <c r="I587" s="276">
        <v>17</v>
      </c>
      <c r="J587" s="276">
        <v>0</v>
      </c>
      <c r="K587" s="276">
        <v>29</v>
      </c>
      <c r="L587" s="276">
        <v>17</v>
      </c>
      <c r="M587" s="277">
        <v>47.6</v>
      </c>
    </row>
    <row r="588" spans="1:13" ht="14.25">
      <c r="A588" s="278">
        <v>11310</v>
      </c>
      <c r="B588" s="279" t="s">
        <v>283</v>
      </c>
      <c r="C588" s="279" t="s">
        <v>166</v>
      </c>
      <c r="D588" s="279" t="s">
        <v>167</v>
      </c>
      <c r="E588" s="280">
        <v>1.65</v>
      </c>
      <c r="F588" s="280" t="s">
        <v>122</v>
      </c>
      <c r="G588" s="280">
        <v>0</v>
      </c>
      <c r="H588" s="280">
        <v>4</v>
      </c>
      <c r="I588" s="280">
        <v>0</v>
      </c>
      <c r="J588" s="280">
        <v>0</v>
      </c>
      <c r="K588" s="280">
        <v>4</v>
      </c>
      <c r="L588" s="280">
        <v>0</v>
      </c>
      <c r="M588" s="281">
        <v>0</v>
      </c>
    </row>
    <row r="589" spans="1:13" ht="14.25">
      <c r="A589" s="274">
        <v>11310</v>
      </c>
      <c r="B589" s="275" t="s">
        <v>283</v>
      </c>
      <c r="C589" s="275" t="s">
        <v>341</v>
      </c>
      <c r="D589" s="275" t="s">
        <v>342</v>
      </c>
      <c r="E589" s="276">
        <v>1.65</v>
      </c>
      <c r="F589" s="276" t="s">
        <v>119</v>
      </c>
      <c r="G589" s="276">
        <v>0</v>
      </c>
      <c r="H589" s="276">
        <v>0</v>
      </c>
      <c r="I589" s="276">
        <v>10</v>
      </c>
      <c r="J589" s="276">
        <v>0</v>
      </c>
      <c r="K589" s="276">
        <v>10</v>
      </c>
      <c r="L589" s="276">
        <v>10</v>
      </c>
      <c r="M589" s="277">
        <v>16.5</v>
      </c>
    </row>
    <row r="590" spans="1:13" ht="14.25">
      <c r="A590" s="278">
        <v>11310</v>
      </c>
      <c r="B590" s="279" t="s">
        <v>283</v>
      </c>
      <c r="C590" s="279" t="s">
        <v>341</v>
      </c>
      <c r="D590" s="279" t="s">
        <v>342</v>
      </c>
      <c r="E590" s="280">
        <v>1.65</v>
      </c>
      <c r="F590" s="280" t="s">
        <v>122</v>
      </c>
      <c r="G590" s="280">
        <v>0</v>
      </c>
      <c r="H590" s="280">
        <v>6</v>
      </c>
      <c r="I590" s="280">
        <v>26</v>
      </c>
      <c r="J590" s="280">
        <v>0</v>
      </c>
      <c r="K590" s="280">
        <v>32</v>
      </c>
      <c r="L590" s="280">
        <v>26</v>
      </c>
      <c r="M590" s="281">
        <v>42.9</v>
      </c>
    </row>
    <row r="591" spans="1:13" ht="14.25">
      <c r="A591" s="274">
        <v>11310</v>
      </c>
      <c r="B591" s="275" t="s">
        <v>283</v>
      </c>
      <c r="C591" s="275" t="s">
        <v>139</v>
      </c>
      <c r="D591" s="275" t="s">
        <v>140</v>
      </c>
      <c r="E591" s="276">
        <v>2.25</v>
      </c>
      <c r="F591" s="276" t="s">
        <v>119</v>
      </c>
      <c r="G591" s="276">
        <v>0</v>
      </c>
      <c r="H591" s="276">
        <v>0</v>
      </c>
      <c r="I591" s="276">
        <v>11</v>
      </c>
      <c r="J591" s="276">
        <v>0</v>
      </c>
      <c r="K591" s="276">
        <v>11</v>
      </c>
      <c r="L591" s="276">
        <v>11</v>
      </c>
      <c r="M591" s="277">
        <v>24.75</v>
      </c>
    </row>
    <row r="592" spans="1:13" ht="14.25">
      <c r="A592" s="278">
        <v>11310</v>
      </c>
      <c r="B592" s="279" t="s">
        <v>283</v>
      </c>
      <c r="C592" s="279" t="s">
        <v>139</v>
      </c>
      <c r="D592" s="279" t="s">
        <v>140</v>
      </c>
      <c r="E592" s="280">
        <v>2.25</v>
      </c>
      <c r="F592" s="280" t="s">
        <v>122</v>
      </c>
      <c r="G592" s="280">
        <v>0</v>
      </c>
      <c r="H592" s="280">
        <v>7</v>
      </c>
      <c r="I592" s="280">
        <v>30</v>
      </c>
      <c r="J592" s="280">
        <v>1</v>
      </c>
      <c r="K592" s="280">
        <v>38</v>
      </c>
      <c r="L592" s="280">
        <v>30.5</v>
      </c>
      <c r="M592" s="281">
        <v>68.63</v>
      </c>
    </row>
    <row r="593" spans="1:13" ht="14.25">
      <c r="A593" s="274">
        <v>11310</v>
      </c>
      <c r="B593" s="275" t="s">
        <v>283</v>
      </c>
      <c r="C593" s="275" t="s">
        <v>77</v>
      </c>
      <c r="D593" s="275" t="s">
        <v>78</v>
      </c>
      <c r="E593" s="276">
        <v>2.25</v>
      </c>
      <c r="F593" s="276" t="s">
        <v>119</v>
      </c>
      <c r="G593" s="276">
        <v>0</v>
      </c>
      <c r="H593" s="276">
        <v>1</v>
      </c>
      <c r="I593" s="276">
        <v>22</v>
      </c>
      <c r="J593" s="276">
        <v>0</v>
      </c>
      <c r="K593" s="276">
        <v>23</v>
      </c>
      <c r="L593" s="276">
        <v>22</v>
      </c>
      <c r="M593" s="277">
        <v>49.5</v>
      </c>
    </row>
    <row r="594" spans="1:13" ht="14.25">
      <c r="A594" s="278">
        <v>11310</v>
      </c>
      <c r="B594" s="279" t="s">
        <v>283</v>
      </c>
      <c r="C594" s="279" t="s">
        <v>77</v>
      </c>
      <c r="D594" s="279" t="s">
        <v>78</v>
      </c>
      <c r="E594" s="280">
        <v>2.25</v>
      </c>
      <c r="F594" s="280" t="s">
        <v>122</v>
      </c>
      <c r="G594" s="280">
        <v>0</v>
      </c>
      <c r="H594" s="280">
        <v>29</v>
      </c>
      <c r="I594" s="280">
        <v>70</v>
      </c>
      <c r="J594" s="280">
        <v>0</v>
      </c>
      <c r="K594" s="280">
        <v>99</v>
      </c>
      <c r="L594" s="280">
        <v>70</v>
      </c>
      <c r="M594" s="281">
        <v>157.5</v>
      </c>
    </row>
    <row r="595" spans="1:13" ht="14.25">
      <c r="A595" s="274">
        <v>11310</v>
      </c>
      <c r="B595" s="275" t="s">
        <v>283</v>
      </c>
      <c r="C595" s="275" t="s">
        <v>343</v>
      </c>
      <c r="D595" s="275" t="s">
        <v>344</v>
      </c>
      <c r="E595" s="276">
        <v>2.25</v>
      </c>
      <c r="F595" s="276" t="s">
        <v>119</v>
      </c>
      <c r="G595" s="276">
        <v>0</v>
      </c>
      <c r="H595" s="276">
        <v>0</v>
      </c>
      <c r="I595" s="276">
        <v>17</v>
      </c>
      <c r="J595" s="276">
        <v>0</v>
      </c>
      <c r="K595" s="276">
        <v>17</v>
      </c>
      <c r="L595" s="276">
        <v>17</v>
      </c>
      <c r="M595" s="277">
        <v>38.25</v>
      </c>
    </row>
    <row r="596" spans="1:13" ht="14.25">
      <c r="A596" s="278">
        <v>11310</v>
      </c>
      <c r="B596" s="279" t="s">
        <v>283</v>
      </c>
      <c r="C596" s="279" t="s">
        <v>343</v>
      </c>
      <c r="D596" s="279" t="s">
        <v>344</v>
      </c>
      <c r="E596" s="280">
        <v>2.25</v>
      </c>
      <c r="F596" s="280" t="s">
        <v>122</v>
      </c>
      <c r="G596" s="280">
        <v>0</v>
      </c>
      <c r="H596" s="280">
        <v>12</v>
      </c>
      <c r="I596" s="280">
        <v>39</v>
      </c>
      <c r="J596" s="280">
        <v>0</v>
      </c>
      <c r="K596" s="280">
        <v>51</v>
      </c>
      <c r="L596" s="280">
        <v>39</v>
      </c>
      <c r="M596" s="281">
        <v>87.75</v>
      </c>
    </row>
    <row r="597" spans="1:13" ht="14.25">
      <c r="A597" s="274">
        <v>11310</v>
      </c>
      <c r="B597" s="275" t="s">
        <v>283</v>
      </c>
      <c r="C597" s="275" t="s">
        <v>141</v>
      </c>
      <c r="D597" s="275" t="s">
        <v>142</v>
      </c>
      <c r="E597" s="276">
        <v>2.25</v>
      </c>
      <c r="F597" s="276" t="s">
        <v>119</v>
      </c>
      <c r="G597" s="276">
        <v>0</v>
      </c>
      <c r="H597" s="276">
        <v>0</v>
      </c>
      <c r="I597" s="276">
        <v>3</v>
      </c>
      <c r="J597" s="276">
        <v>0</v>
      </c>
      <c r="K597" s="276">
        <v>3</v>
      </c>
      <c r="L597" s="276">
        <v>3</v>
      </c>
      <c r="M597" s="277">
        <v>6.75</v>
      </c>
    </row>
    <row r="598" spans="1:13" ht="14.25">
      <c r="A598" s="278">
        <v>11310</v>
      </c>
      <c r="B598" s="279" t="s">
        <v>283</v>
      </c>
      <c r="C598" s="279" t="s">
        <v>141</v>
      </c>
      <c r="D598" s="279" t="s">
        <v>142</v>
      </c>
      <c r="E598" s="280">
        <v>2.25</v>
      </c>
      <c r="F598" s="280" t="s">
        <v>122</v>
      </c>
      <c r="G598" s="280">
        <v>0</v>
      </c>
      <c r="H598" s="280">
        <v>11</v>
      </c>
      <c r="I598" s="280">
        <v>24</v>
      </c>
      <c r="J598" s="280">
        <v>0</v>
      </c>
      <c r="K598" s="280">
        <v>35</v>
      </c>
      <c r="L598" s="280">
        <v>24</v>
      </c>
      <c r="M598" s="281">
        <v>54</v>
      </c>
    </row>
    <row r="599" spans="1:13" ht="14.25">
      <c r="A599" s="274">
        <v>11310</v>
      </c>
      <c r="B599" s="275" t="s">
        <v>283</v>
      </c>
      <c r="C599" s="275" t="s">
        <v>79</v>
      </c>
      <c r="D599" s="275" t="s">
        <v>80</v>
      </c>
      <c r="E599" s="276">
        <v>2.25</v>
      </c>
      <c r="F599" s="276" t="s">
        <v>119</v>
      </c>
      <c r="G599" s="276">
        <v>0</v>
      </c>
      <c r="H599" s="276">
        <v>0</v>
      </c>
      <c r="I599" s="276">
        <v>9</v>
      </c>
      <c r="J599" s="276">
        <v>0</v>
      </c>
      <c r="K599" s="276">
        <v>9</v>
      </c>
      <c r="L599" s="276">
        <v>9</v>
      </c>
      <c r="M599" s="277">
        <v>20.25</v>
      </c>
    </row>
    <row r="600" spans="1:13" ht="14.25">
      <c r="A600" s="278">
        <v>11310</v>
      </c>
      <c r="B600" s="279" t="s">
        <v>283</v>
      </c>
      <c r="C600" s="279" t="s">
        <v>79</v>
      </c>
      <c r="D600" s="279" t="s">
        <v>80</v>
      </c>
      <c r="E600" s="280">
        <v>2.25</v>
      </c>
      <c r="F600" s="280" t="s">
        <v>122</v>
      </c>
      <c r="G600" s="280">
        <v>0</v>
      </c>
      <c r="H600" s="280">
        <v>13</v>
      </c>
      <c r="I600" s="280">
        <v>32</v>
      </c>
      <c r="J600" s="280">
        <v>0</v>
      </c>
      <c r="K600" s="280">
        <v>45</v>
      </c>
      <c r="L600" s="280">
        <v>32</v>
      </c>
      <c r="M600" s="281">
        <v>72</v>
      </c>
    </row>
    <row r="601" spans="1:13" ht="14.25">
      <c r="A601" s="274">
        <v>11310</v>
      </c>
      <c r="B601" s="275" t="s">
        <v>283</v>
      </c>
      <c r="C601" s="275" t="s">
        <v>345</v>
      </c>
      <c r="D601" s="275" t="s">
        <v>346</v>
      </c>
      <c r="E601" s="276">
        <v>2.25</v>
      </c>
      <c r="F601" s="276" t="s">
        <v>119</v>
      </c>
      <c r="G601" s="276">
        <v>0</v>
      </c>
      <c r="H601" s="276">
        <v>1</v>
      </c>
      <c r="I601" s="276">
        <v>10</v>
      </c>
      <c r="J601" s="276">
        <v>1</v>
      </c>
      <c r="K601" s="276">
        <v>12</v>
      </c>
      <c r="L601" s="276">
        <v>10.5</v>
      </c>
      <c r="M601" s="277">
        <v>23.63</v>
      </c>
    </row>
    <row r="602" spans="1:13" ht="14.25">
      <c r="A602" s="278">
        <v>11310</v>
      </c>
      <c r="B602" s="279" t="s">
        <v>283</v>
      </c>
      <c r="C602" s="279" t="s">
        <v>345</v>
      </c>
      <c r="D602" s="279" t="s">
        <v>346</v>
      </c>
      <c r="E602" s="280">
        <v>2.25</v>
      </c>
      <c r="F602" s="280" t="s">
        <v>122</v>
      </c>
      <c r="G602" s="280">
        <v>0</v>
      </c>
      <c r="H602" s="280">
        <v>5</v>
      </c>
      <c r="I602" s="280">
        <v>14</v>
      </c>
      <c r="J602" s="280">
        <v>1</v>
      </c>
      <c r="K602" s="280">
        <v>20</v>
      </c>
      <c r="L602" s="280">
        <v>14.5</v>
      </c>
      <c r="M602" s="281">
        <v>32.63</v>
      </c>
    </row>
    <row r="603" spans="1:13" ht="14.25">
      <c r="A603" s="274">
        <v>11310</v>
      </c>
      <c r="B603" s="275" t="s">
        <v>283</v>
      </c>
      <c r="C603" s="275" t="s">
        <v>347</v>
      </c>
      <c r="D603" s="275" t="s">
        <v>348</v>
      </c>
      <c r="E603" s="276">
        <v>2.25</v>
      </c>
      <c r="F603" s="276" t="s">
        <v>119</v>
      </c>
      <c r="G603" s="276">
        <v>0</v>
      </c>
      <c r="H603" s="276">
        <v>0</v>
      </c>
      <c r="I603" s="276">
        <v>6</v>
      </c>
      <c r="J603" s="276">
        <v>0</v>
      </c>
      <c r="K603" s="276">
        <v>6</v>
      </c>
      <c r="L603" s="276">
        <v>6</v>
      </c>
      <c r="M603" s="277">
        <v>13.5</v>
      </c>
    </row>
    <row r="604" spans="1:13" ht="14.25">
      <c r="A604" s="278">
        <v>11310</v>
      </c>
      <c r="B604" s="279" t="s">
        <v>283</v>
      </c>
      <c r="C604" s="279" t="s">
        <v>347</v>
      </c>
      <c r="D604" s="279" t="s">
        <v>348</v>
      </c>
      <c r="E604" s="280">
        <v>2.25</v>
      </c>
      <c r="F604" s="280" t="s">
        <v>122</v>
      </c>
      <c r="G604" s="280">
        <v>0</v>
      </c>
      <c r="H604" s="280">
        <v>6</v>
      </c>
      <c r="I604" s="280">
        <v>14</v>
      </c>
      <c r="J604" s="280">
        <v>0</v>
      </c>
      <c r="K604" s="280">
        <v>20</v>
      </c>
      <c r="L604" s="280">
        <v>14</v>
      </c>
      <c r="M604" s="281">
        <v>31.5</v>
      </c>
    </row>
    <row r="605" spans="1:13" ht="14.25">
      <c r="A605" s="274">
        <v>11310</v>
      </c>
      <c r="B605" s="275" t="s">
        <v>283</v>
      </c>
      <c r="C605" s="275" t="s">
        <v>143</v>
      </c>
      <c r="D605" s="275" t="s">
        <v>144</v>
      </c>
      <c r="E605" s="276">
        <v>2.25</v>
      </c>
      <c r="F605" s="276" t="s">
        <v>119</v>
      </c>
      <c r="G605" s="276">
        <v>0</v>
      </c>
      <c r="H605" s="276">
        <v>0</v>
      </c>
      <c r="I605" s="276">
        <v>20</v>
      </c>
      <c r="J605" s="276">
        <v>0</v>
      </c>
      <c r="K605" s="276">
        <v>20</v>
      </c>
      <c r="L605" s="276">
        <v>20</v>
      </c>
      <c r="M605" s="277">
        <v>45</v>
      </c>
    </row>
    <row r="606" spans="1:13" ht="14.25">
      <c r="A606" s="278">
        <v>11310</v>
      </c>
      <c r="B606" s="279" t="s">
        <v>283</v>
      </c>
      <c r="C606" s="279" t="s">
        <v>143</v>
      </c>
      <c r="D606" s="279" t="s">
        <v>144</v>
      </c>
      <c r="E606" s="280">
        <v>2.25</v>
      </c>
      <c r="F606" s="280" t="s">
        <v>122</v>
      </c>
      <c r="G606" s="280">
        <v>0</v>
      </c>
      <c r="H606" s="280">
        <v>14</v>
      </c>
      <c r="I606" s="280">
        <v>69</v>
      </c>
      <c r="J606" s="280">
        <v>0</v>
      </c>
      <c r="K606" s="280">
        <v>83</v>
      </c>
      <c r="L606" s="280">
        <v>69</v>
      </c>
      <c r="M606" s="281">
        <v>155.25</v>
      </c>
    </row>
    <row r="607" spans="1:13" ht="14.25">
      <c r="A607" s="274">
        <v>11310</v>
      </c>
      <c r="B607" s="275" t="s">
        <v>283</v>
      </c>
      <c r="C607" s="275" t="s">
        <v>349</v>
      </c>
      <c r="D607" s="275" t="s">
        <v>350</v>
      </c>
      <c r="E607" s="276">
        <v>2.25</v>
      </c>
      <c r="F607" s="276" t="s">
        <v>119</v>
      </c>
      <c r="G607" s="276">
        <v>0</v>
      </c>
      <c r="H607" s="276">
        <v>0</v>
      </c>
      <c r="I607" s="276">
        <v>7</v>
      </c>
      <c r="J607" s="276">
        <v>0</v>
      </c>
      <c r="K607" s="276">
        <v>7</v>
      </c>
      <c r="L607" s="276">
        <v>7</v>
      </c>
      <c r="M607" s="277">
        <v>15.75</v>
      </c>
    </row>
    <row r="608" spans="1:13" ht="14.25">
      <c r="A608" s="278">
        <v>11310</v>
      </c>
      <c r="B608" s="279" t="s">
        <v>283</v>
      </c>
      <c r="C608" s="279" t="s">
        <v>349</v>
      </c>
      <c r="D608" s="279" t="s">
        <v>350</v>
      </c>
      <c r="E608" s="280">
        <v>2.25</v>
      </c>
      <c r="F608" s="280" t="s">
        <v>122</v>
      </c>
      <c r="G608" s="280">
        <v>0</v>
      </c>
      <c r="H608" s="280">
        <v>13</v>
      </c>
      <c r="I608" s="280">
        <v>29</v>
      </c>
      <c r="J608" s="280">
        <v>0</v>
      </c>
      <c r="K608" s="280">
        <v>42</v>
      </c>
      <c r="L608" s="280">
        <v>29</v>
      </c>
      <c r="M608" s="281">
        <v>65.25</v>
      </c>
    </row>
    <row r="609" spans="1:13" ht="14.25">
      <c r="A609" s="274">
        <v>11310</v>
      </c>
      <c r="B609" s="275" t="s">
        <v>283</v>
      </c>
      <c r="C609" s="275" t="s">
        <v>351</v>
      </c>
      <c r="D609" s="275" t="s">
        <v>352</v>
      </c>
      <c r="E609" s="276">
        <v>1</v>
      </c>
      <c r="F609" s="276" t="s">
        <v>119</v>
      </c>
      <c r="G609" s="276">
        <v>0</v>
      </c>
      <c r="H609" s="276">
        <v>0</v>
      </c>
      <c r="I609" s="276">
        <v>3</v>
      </c>
      <c r="J609" s="276">
        <v>0</v>
      </c>
      <c r="K609" s="276">
        <v>3</v>
      </c>
      <c r="L609" s="276">
        <v>3</v>
      </c>
      <c r="M609" s="277">
        <v>3</v>
      </c>
    </row>
    <row r="610" spans="1:13" ht="14.25">
      <c r="A610" s="278">
        <v>11310</v>
      </c>
      <c r="B610" s="279" t="s">
        <v>283</v>
      </c>
      <c r="C610" s="279" t="s">
        <v>351</v>
      </c>
      <c r="D610" s="279" t="s">
        <v>352</v>
      </c>
      <c r="E610" s="280">
        <v>1</v>
      </c>
      <c r="F610" s="280" t="s">
        <v>122</v>
      </c>
      <c r="G610" s="280">
        <v>0</v>
      </c>
      <c r="H610" s="280">
        <v>5</v>
      </c>
      <c r="I610" s="280">
        <v>22</v>
      </c>
      <c r="J610" s="280">
        <v>0</v>
      </c>
      <c r="K610" s="280">
        <v>27</v>
      </c>
      <c r="L610" s="280">
        <v>22</v>
      </c>
      <c r="M610" s="281">
        <v>22</v>
      </c>
    </row>
    <row r="611" spans="1:13" ht="9.75">
      <c r="A611" s="282">
        <v>11310</v>
      </c>
      <c r="B611" s="283" t="s">
        <v>163</v>
      </c>
      <c r="C611" s="283"/>
      <c r="D611" s="283"/>
      <c r="E611" s="283"/>
      <c r="F611" s="284" t="s">
        <v>132</v>
      </c>
      <c r="G611" s="284">
        <v>591</v>
      </c>
      <c r="H611" s="284">
        <v>7</v>
      </c>
      <c r="I611" s="284">
        <v>232</v>
      </c>
      <c r="J611" s="284">
        <v>3</v>
      </c>
      <c r="K611" s="284">
        <v>833</v>
      </c>
      <c r="L611" s="545"/>
      <c r="M611" s="546"/>
    </row>
    <row r="612" spans="1:13" ht="9.75">
      <c r="A612" s="282">
        <v>11310</v>
      </c>
      <c r="B612" s="283" t="s">
        <v>163</v>
      </c>
      <c r="C612" s="283"/>
      <c r="D612" s="283"/>
      <c r="E612" s="283"/>
      <c r="F612" s="284" t="s">
        <v>109</v>
      </c>
      <c r="G612" s="284">
        <v>0</v>
      </c>
      <c r="H612" s="284">
        <v>134</v>
      </c>
      <c r="I612" s="284">
        <v>1209</v>
      </c>
      <c r="J612" s="284">
        <v>14</v>
      </c>
      <c r="K612" s="284">
        <v>1357</v>
      </c>
      <c r="L612" s="545"/>
      <c r="M612" s="546"/>
    </row>
    <row r="613" spans="1:13" ht="9.75">
      <c r="A613" s="282">
        <v>11310</v>
      </c>
      <c r="B613" s="283" t="s">
        <v>163</v>
      </c>
      <c r="C613" s="283"/>
      <c r="D613" s="283"/>
      <c r="E613" s="283"/>
      <c r="F613" s="284" t="s">
        <v>110</v>
      </c>
      <c r="G613" s="284">
        <v>0</v>
      </c>
      <c r="H613" s="284">
        <v>0</v>
      </c>
      <c r="I613" s="284">
        <v>0</v>
      </c>
      <c r="J613" s="284">
        <v>0</v>
      </c>
      <c r="K613" s="284">
        <v>0</v>
      </c>
      <c r="L613" s="545"/>
      <c r="M613" s="546"/>
    </row>
    <row r="614" spans="1:13" ht="9.75">
      <c r="A614" s="282">
        <v>11310</v>
      </c>
      <c r="B614" s="283" t="s">
        <v>163</v>
      </c>
      <c r="C614" s="283"/>
      <c r="D614" s="283"/>
      <c r="E614" s="283"/>
      <c r="F614" s="284" t="s">
        <v>113</v>
      </c>
      <c r="G614" s="284">
        <v>0</v>
      </c>
      <c r="H614" s="284">
        <v>0</v>
      </c>
      <c r="I614" s="284">
        <v>0</v>
      </c>
      <c r="J614" s="284">
        <v>0</v>
      </c>
      <c r="K614" s="284">
        <v>0</v>
      </c>
      <c r="L614" s="545"/>
      <c r="M614" s="546"/>
    </row>
    <row r="615" spans="1:13" ht="9.75">
      <c r="A615" s="282">
        <v>11310</v>
      </c>
      <c r="B615" s="283" t="s">
        <v>163</v>
      </c>
      <c r="C615" s="283"/>
      <c r="D615" s="283"/>
      <c r="E615" s="283"/>
      <c r="F615" s="284" t="s">
        <v>116</v>
      </c>
      <c r="G615" s="284">
        <v>0</v>
      </c>
      <c r="H615" s="284">
        <v>3</v>
      </c>
      <c r="I615" s="284">
        <v>420</v>
      </c>
      <c r="J615" s="284">
        <v>0</v>
      </c>
      <c r="K615" s="284">
        <v>423</v>
      </c>
      <c r="L615" s="545"/>
      <c r="M615" s="546"/>
    </row>
    <row r="616" spans="1:13" ht="9.75">
      <c r="A616" s="282">
        <v>11310</v>
      </c>
      <c r="B616" s="283" t="s">
        <v>163</v>
      </c>
      <c r="C616" s="283"/>
      <c r="D616" s="283"/>
      <c r="E616" s="283"/>
      <c r="F616" s="284" t="s">
        <v>114</v>
      </c>
      <c r="G616" s="284">
        <v>0</v>
      </c>
      <c r="H616" s="284">
        <v>62</v>
      </c>
      <c r="I616" s="284">
        <v>624</v>
      </c>
      <c r="J616" s="284">
        <v>6</v>
      </c>
      <c r="K616" s="284">
        <v>692</v>
      </c>
      <c r="L616" s="545"/>
      <c r="M616" s="546"/>
    </row>
    <row r="617" spans="1:13" ht="9.75">
      <c r="A617" s="282">
        <v>11310</v>
      </c>
      <c r="B617" s="283" t="s">
        <v>163</v>
      </c>
      <c r="C617" s="283"/>
      <c r="D617" s="283"/>
      <c r="E617" s="283"/>
      <c r="F617" s="284" t="s">
        <v>119</v>
      </c>
      <c r="G617" s="284">
        <v>0</v>
      </c>
      <c r="H617" s="284">
        <v>4</v>
      </c>
      <c r="I617" s="284">
        <v>259</v>
      </c>
      <c r="J617" s="284">
        <v>1</v>
      </c>
      <c r="K617" s="284">
        <v>264</v>
      </c>
      <c r="L617" s="545"/>
      <c r="M617" s="605"/>
    </row>
    <row r="618" spans="1:13" ht="9.75">
      <c r="A618" s="282">
        <v>11310</v>
      </c>
      <c r="B618" s="283" t="s">
        <v>163</v>
      </c>
      <c r="C618" s="283"/>
      <c r="D618" s="283"/>
      <c r="E618" s="283"/>
      <c r="F618" s="284" t="s">
        <v>122</v>
      </c>
      <c r="G618" s="284">
        <v>0</v>
      </c>
      <c r="H618" s="284">
        <v>339</v>
      </c>
      <c r="I618" s="284">
        <v>820</v>
      </c>
      <c r="J618" s="284">
        <v>5</v>
      </c>
      <c r="K618" s="284">
        <v>1164</v>
      </c>
      <c r="L618" s="545"/>
      <c r="M618" s="605"/>
    </row>
    <row r="619" spans="1:13" ht="14.25">
      <c r="A619" s="274">
        <v>11320</v>
      </c>
      <c r="B619" s="275" t="s">
        <v>353</v>
      </c>
      <c r="C619" s="275" t="s">
        <v>354</v>
      </c>
      <c r="D619" s="275" t="s">
        <v>85</v>
      </c>
      <c r="E619" s="276">
        <v>2.25</v>
      </c>
      <c r="F619" s="276" t="s">
        <v>132</v>
      </c>
      <c r="G619" s="276">
        <v>152</v>
      </c>
      <c r="H619" s="276">
        <v>3</v>
      </c>
      <c r="I619" s="276">
        <v>38</v>
      </c>
      <c r="J619" s="276">
        <v>0</v>
      </c>
      <c r="K619" s="276">
        <v>193</v>
      </c>
      <c r="L619" s="276">
        <v>190</v>
      </c>
      <c r="M619" s="277">
        <v>427.5</v>
      </c>
    </row>
    <row r="620" spans="1:13" ht="14.25">
      <c r="A620" s="278">
        <v>11320</v>
      </c>
      <c r="B620" s="279" t="s">
        <v>353</v>
      </c>
      <c r="C620" s="279" t="s">
        <v>354</v>
      </c>
      <c r="D620" s="279" t="s">
        <v>85</v>
      </c>
      <c r="E620" s="280">
        <v>2.25</v>
      </c>
      <c r="F620" s="280" t="s">
        <v>109</v>
      </c>
      <c r="G620" s="280">
        <v>0</v>
      </c>
      <c r="H620" s="280">
        <v>22</v>
      </c>
      <c r="I620" s="280">
        <v>204</v>
      </c>
      <c r="J620" s="280">
        <v>1</v>
      </c>
      <c r="K620" s="280">
        <v>227</v>
      </c>
      <c r="L620" s="280">
        <v>204.5</v>
      </c>
      <c r="M620" s="281">
        <v>460.13</v>
      </c>
    </row>
    <row r="621" spans="1:13" ht="14.25">
      <c r="A621" s="274">
        <v>11320</v>
      </c>
      <c r="B621" s="275" t="s">
        <v>353</v>
      </c>
      <c r="C621" s="275" t="s">
        <v>355</v>
      </c>
      <c r="D621" s="275" t="s">
        <v>356</v>
      </c>
      <c r="E621" s="276">
        <v>2.8</v>
      </c>
      <c r="F621" s="276" t="s">
        <v>132</v>
      </c>
      <c r="G621" s="276">
        <v>124</v>
      </c>
      <c r="H621" s="276">
        <v>4</v>
      </c>
      <c r="I621" s="276">
        <v>23</v>
      </c>
      <c r="J621" s="276">
        <v>1</v>
      </c>
      <c r="K621" s="276">
        <v>152</v>
      </c>
      <c r="L621" s="276">
        <v>147.5</v>
      </c>
      <c r="M621" s="277">
        <v>413</v>
      </c>
    </row>
    <row r="622" spans="1:13" ht="14.25">
      <c r="A622" s="278">
        <v>11320</v>
      </c>
      <c r="B622" s="279" t="s">
        <v>353</v>
      </c>
      <c r="C622" s="279" t="s">
        <v>355</v>
      </c>
      <c r="D622" s="279" t="s">
        <v>356</v>
      </c>
      <c r="E622" s="280">
        <v>2.8</v>
      </c>
      <c r="F622" s="280" t="s">
        <v>109</v>
      </c>
      <c r="G622" s="280">
        <v>0</v>
      </c>
      <c r="H622" s="280">
        <v>24</v>
      </c>
      <c r="I622" s="280">
        <v>192</v>
      </c>
      <c r="J622" s="280">
        <v>0</v>
      </c>
      <c r="K622" s="280">
        <v>216</v>
      </c>
      <c r="L622" s="280">
        <v>192</v>
      </c>
      <c r="M622" s="281">
        <v>537.6</v>
      </c>
    </row>
    <row r="623" spans="1:13" ht="14.25">
      <c r="A623" s="274">
        <v>11320</v>
      </c>
      <c r="B623" s="275" t="s">
        <v>353</v>
      </c>
      <c r="C623" s="275" t="s">
        <v>82</v>
      </c>
      <c r="D623" s="275" t="s">
        <v>83</v>
      </c>
      <c r="E623" s="276">
        <v>1.65</v>
      </c>
      <c r="F623" s="276" t="s">
        <v>132</v>
      </c>
      <c r="G623" s="276">
        <v>135</v>
      </c>
      <c r="H623" s="276">
        <v>9</v>
      </c>
      <c r="I623" s="276">
        <v>17</v>
      </c>
      <c r="J623" s="276">
        <v>0</v>
      </c>
      <c r="K623" s="276">
        <v>161</v>
      </c>
      <c r="L623" s="276">
        <v>152</v>
      </c>
      <c r="M623" s="277">
        <v>250.8</v>
      </c>
    </row>
    <row r="624" spans="1:13" ht="14.25">
      <c r="A624" s="278">
        <v>11320</v>
      </c>
      <c r="B624" s="279" t="s">
        <v>353</v>
      </c>
      <c r="C624" s="279" t="s">
        <v>82</v>
      </c>
      <c r="D624" s="279" t="s">
        <v>83</v>
      </c>
      <c r="E624" s="280">
        <v>1.65</v>
      </c>
      <c r="F624" s="280" t="s">
        <v>109</v>
      </c>
      <c r="G624" s="280">
        <v>0</v>
      </c>
      <c r="H624" s="280">
        <v>36</v>
      </c>
      <c r="I624" s="280">
        <v>216</v>
      </c>
      <c r="J624" s="280">
        <v>2</v>
      </c>
      <c r="K624" s="280">
        <v>254</v>
      </c>
      <c r="L624" s="280">
        <v>217</v>
      </c>
      <c r="M624" s="281">
        <v>358.05</v>
      </c>
    </row>
    <row r="625" spans="1:13" ht="14.25">
      <c r="A625" s="274">
        <v>11320</v>
      </c>
      <c r="B625" s="275" t="s">
        <v>353</v>
      </c>
      <c r="C625" s="275" t="s">
        <v>84</v>
      </c>
      <c r="D625" s="275" t="s">
        <v>85</v>
      </c>
      <c r="E625" s="276">
        <v>2.25</v>
      </c>
      <c r="F625" s="276" t="s">
        <v>116</v>
      </c>
      <c r="G625" s="276">
        <v>0</v>
      </c>
      <c r="H625" s="276">
        <v>0</v>
      </c>
      <c r="I625" s="276">
        <v>65</v>
      </c>
      <c r="J625" s="276">
        <v>0</v>
      </c>
      <c r="K625" s="276">
        <v>65</v>
      </c>
      <c r="L625" s="276">
        <v>65</v>
      </c>
      <c r="M625" s="277">
        <v>146.25</v>
      </c>
    </row>
    <row r="626" spans="1:13" ht="14.25">
      <c r="A626" s="278">
        <v>11320</v>
      </c>
      <c r="B626" s="279" t="s">
        <v>353</v>
      </c>
      <c r="C626" s="279" t="s">
        <v>84</v>
      </c>
      <c r="D626" s="279" t="s">
        <v>85</v>
      </c>
      <c r="E626" s="280">
        <v>2.25</v>
      </c>
      <c r="F626" s="280" t="s">
        <v>114</v>
      </c>
      <c r="G626" s="280">
        <v>0</v>
      </c>
      <c r="H626" s="280">
        <v>12</v>
      </c>
      <c r="I626" s="280">
        <v>88</v>
      </c>
      <c r="J626" s="280">
        <v>1</v>
      </c>
      <c r="K626" s="280">
        <v>101</v>
      </c>
      <c r="L626" s="280">
        <v>88.5</v>
      </c>
      <c r="M626" s="281">
        <v>199.13</v>
      </c>
    </row>
    <row r="627" spans="1:13" ht="14.25">
      <c r="A627" s="274">
        <v>11320</v>
      </c>
      <c r="B627" s="275" t="s">
        <v>353</v>
      </c>
      <c r="C627" s="275" t="s">
        <v>357</v>
      </c>
      <c r="D627" s="275" t="s">
        <v>356</v>
      </c>
      <c r="E627" s="276">
        <v>2.8</v>
      </c>
      <c r="F627" s="276" t="s">
        <v>116</v>
      </c>
      <c r="G627" s="276">
        <v>0</v>
      </c>
      <c r="H627" s="276">
        <v>1</v>
      </c>
      <c r="I627" s="276">
        <v>56</v>
      </c>
      <c r="J627" s="276">
        <v>0</v>
      </c>
      <c r="K627" s="276">
        <v>57</v>
      </c>
      <c r="L627" s="276">
        <v>56</v>
      </c>
      <c r="M627" s="277">
        <v>156.8</v>
      </c>
    </row>
    <row r="628" spans="1:13" ht="14.25">
      <c r="A628" s="278">
        <v>11320</v>
      </c>
      <c r="B628" s="279" t="s">
        <v>353</v>
      </c>
      <c r="C628" s="279" t="s">
        <v>357</v>
      </c>
      <c r="D628" s="279" t="s">
        <v>356</v>
      </c>
      <c r="E628" s="280">
        <v>2.8</v>
      </c>
      <c r="F628" s="280" t="s">
        <v>114</v>
      </c>
      <c r="G628" s="280">
        <v>0</v>
      </c>
      <c r="H628" s="280">
        <v>5</v>
      </c>
      <c r="I628" s="280">
        <v>55</v>
      </c>
      <c r="J628" s="280">
        <v>0</v>
      </c>
      <c r="K628" s="280">
        <v>60</v>
      </c>
      <c r="L628" s="280">
        <v>55</v>
      </c>
      <c r="M628" s="281">
        <v>154</v>
      </c>
    </row>
    <row r="629" spans="1:13" ht="14.25">
      <c r="A629" s="274">
        <v>11320</v>
      </c>
      <c r="B629" s="275" t="s">
        <v>353</v>
      </c>
      <c r="C629" s="275" t="s">
        <v>86</v>
      </c>
      <c r="D629" s="275" t="s">
        <v>83</v>
      </c>
      <c r="E629" s="276">
        <v>1.65</v>
      </c>
      <c r="F629" s="276" t="s">
        <v>116</v>
      </c>
      <c r="G629" s="276">
        <v>0</v>
      </c>
      <c r="H629" s="276">
        <v>3</v>
      </c>
      <c r="I629" s="276">
        <v>70</v>
      </c>
      <c r="J629" s="276">
        <v>0</v>
      </c>
      <c r="K629" s="276">
        <v>73</v>
      </c>
      <c r="L629" s="276">
        <v>70</v>
      </c>
      <c r="M629" s="277">
        <v>115.5</v>
      </c>
    </row>
    <row r="630" spans="1:13" ht="14.25">
      <c r="A630" s="278">
        <v>11320</v>
      </c>
      <c r="B630" s="279" t="s">
        <v>353</v>
      </c>
      <c r="C630" s="279" t="s">
        <v>86</v>
      </c>
      <c r="D630" s="279" t="s">
        <v>83</v>
      </c>
      <c r="E630" s="280">
        <v>1.65</v>
      </c>
      <c r="F630" s="280" t="s">
        <v>114</v>
      </c>
      <c r="G630" s="280">
        <v>0</v>
      </c>
      <c r="H630" s="280">
        <v>20</v>
      </c>
      <c r="I630" s="280">
        <v>86</v>
      </c>
      <c r="J630" s="280">
        <v>0</v>
      </c>
      <c r="K630" s="280">
        <v>106</v>
      </c>
      <c r="L630" s="280">
        <v>86</v>
      </c>
      <c r="M630" s="281">
        <v>141.9</v>
      </c>
    </row>
    <row r="631" spans="1:13" ht="14.25">
      <c r="A631" s="274">
        <v>11320</v>
      </c>
      <c r="B631" s="275" t="s">
        <v>353</v>
      </c>
      <c r="C631" s="275" t="s">
        <v>358</v>
      </c>
      <c r="D631" s="275" t="s">
        <v>85</v>
      </c>
      <c r="E631" s="276">
        <v>2.25</v>
      </c>
      <c r="F631" s="276" t="s">
        <v>119</v>
      </c>
      <c r="G631" s="276">
        <v>0</v>
      </c>
      <c r="H631" s="276">
        <v>0</v>
      </c>
      <c r="I631" s="276">
        <v>13</v>
      </c>
      <c r="J631" s="276">
        <v>0</v>
      </c>
      <c r="K631" s="276">
        <v>13</v>
      </c>
      <c r="L631" s="276">
        <v>13</v>
      </c>
      <c r="M631" s="277">
        <v>29.25</v>
      </c>
    </row>
    <row r="632" spans="1:13" ht="14.25">
      <c r="A632" s="278">
        <v>11320</v>
      </c>
      <c r="B632" s="279" t="s">
        <v>353</v>
      </c>
      <c r="C632" s="279" t="s">
        <v>358</v>
      </c>
      <c r="D632" s="279" t="s">
        <v>85</v>
      </c>
      <c r="E632" s="280">
        <v>2.25</v>
      </c>
      <c r="F632" s="280" t="s">
        <v>122</v>
      </c>
      <c r="G632" s="280">
        <v>0</v>
      </c>
      <c r="H632" s="280">
        <v>22</v>
      </c>
      <c r="I632" s="280">
        <v>42</v>
      </c>
      <c r="J632" s="280">
        <v>1</v>
      </c>
      <c r="K632" s="280">
        <v>65</v>
      </c>
      <c r="L632" s="280">
        <v>42.5</v>
      </c>
      <c r="M632" s="281">
        <v>95.63</v>
      </c>
    </row>
    <row r="633" spans="1:13" ht="14.25">
      <c r="A633" s="274">
        <v>11320</v>
      </c>
      <c r="B633" s="275" t="s">
        <v>353</v>
      </c>
      <c r="C633" s="275" t="s">
        <v>359</v>
      </c>
      <c r="D633" s="275" t="s">
        <v>356</v>
      </c>
      <c r="E633" s="276">
        <v>2.8</v>
      </c>
      <c r="F633" s="276" t="s">
        <v>119</v>
      </c>
      <c r="G633" s="276">
        <v>0</v>
      </c>
      <c r="H633" s="276">
        <v>1</v>
      </c>
      <c r="I633" s="276">
        <v>55</v>
      </c>
      <c r="J633" s="276">
        <v>0</v>
      </c>
      <c r="K633" s="276">
        <v>56</v>
      </c>
      <c r="L633" s="276">
        <v>55</v>
      </c>
      <c r="M633" s="277">
        <v>154</v>
      </c>
    </row>
    <row r="634" spans="1:13" ht="14.25">
      <c r="A634" s="278">
        <v>11320</v>
      </c>
      <c r="B634" s="279" t="s">
        <v>353</v>
      </c>
      <c r="C634" s="279" t="s">
        <v>359</v>
      </c>
      <c r="D634" s="279" t="s">
        <v>356</v>
      </c>
      <c r="E634" s="280">
        <v>2.8</v>
      </c>
      <c r="F634" s="280" t="s">
        <v>122</v>
      </c>
      <c r="G634" s="280">
        <v>0</v>
      </c>
      <c r="H634" s="280">
        <v>94</v>
      </c>
      <c r="I634" s="280">
        <v>194</v>
      </c>
      <c r="J634" s="280">
        <v>2</v>
      </c>
      <c r="K634" s="280">
        <v>290</v>
      </c>
      <c r="L634" s="280">
        <v>195</v>
      </c>
      <c r="M634" s="281">
        <v>546</v>
      </c>
    </row>
    <row r="635" spans="1:13" ht="14.25">
      <c r="A635" s="274">
        <v>11320</v>
      </c>
      <c r="B635" s="275" t="s">
        <v>353</v>
      </c>
      <c r="C635" s="275" t="s">
        <v>360</v>
      </c>
      <c r="D635" s="275" t="s">
        <v>83</v>
      </c>
      <c r="E635" s="276">
        <v>1.65</v>
      </c>
      <c r="F635" s="276" t="s">
        <v>119</v>
      </c>
      <c r="G635" s="276">
        <v>0</v>
      </c>
      <c r="H635" s="276">
        <v>0</v>
      </c>
      <c r="I635" s="276">
        <v>26</v>
      </c>
      <c r="J635" s="276">
        <v>0</v>
      </c>
      <c r="K635" s="276">
        <v>26</v>
      </c>
      <c r="L635" s="276">
        <v>26</v>
      </c>
      <c r="M635" s="277">
        <v>42.9</v>
      </c>
    </row>
    <row r="636" spans="1:13" ht="14.25">
      <c r="A636" s="278">
        <v>11320</v>
      </c>
      <c r="B636" s="279" t="s">
        <v>353</v>
      </c>
      <c r="C636" s="279" t="s">
        <v>360</v>
      </c>
      <c r="D636" s="279" t="s">
        <v>83</v>
      </c>
      <c r="E636" s="280">
        <v>1.65</v>
      </c>
      <c r="F636" s="280" t="s">
        <v>122</v>
      </c>
      <c r="G636" s="280">
        <v>0</v>
      </c>
      <c r="H636" s="280">
        <v>33</v>
      </c>
      <c r="I636" s="280">
        <v>75</v>
      </c>
      <c r="J636" s="280">
        <v>1</v>
      </c>
      <c r="K636" s="280">
        <v>109</v>
      </c>
      <c r="L636" s="280">
        <v>75.5</v>
      </c>
      <c r="M636" s="281">
        <v>124.58</v>
      </c>
    </row>
    <row r="637" spans="1:13" ht="9.75">
      <c r="A637" s="282">
        <v>11320</v>
      </c>
      <c r="B637" s="283" t="s">
        <v>163</v>
      </c>
      <c r="C637" s="283"/>
      <c r="D637" s="283"/>
      <c r="E637" s="283"/>
      <c r="F637" s="284" t="s">
        <v>132</v>
      </c>
      <c r="G637" s="284">
        <v>411</v>
      </c>
      <c r="H637" s="284">
        <v>16</v>
      </c>
      <c r="I637" s="284">
        <v>78</v>
      </c>
      <c r="J637" s="284">
        <v>1</v>
      </c>
      <c r="K637" s="284">
        <v>506</v>
      </c>
      <c r="L637" s="545"/>
      <c r="M637" s="546"/>
    </row>
    <row r="638" spans="1:13" ht="9.75">
      <c r="A638" s="282">
        <v>11320</v>
      </c>
      <c r="B638" s="283" t="s">
        <v>163</v>
      </c>
      <c r="C638" s="283"/>
      <c r="D638" s="283"/>
      <c r="E638" s="283"/>
      <c r="F638" s="284" t="s">
        <v>109</v>
      </c>
      <c r="G638" s="284">
        <v>0</v>
      </c>
      <c r="H638" s="284">
        <v>82</v>
      </c>
      <c r="I638" s="284">
        <v>612</v>
      </c>
      <c r="J638" s="284">
        <v>3</v>
      </c>
      <c r="K638" s="284">
        <v>697</v>
      </c>
      <c r="L638" s="545"/>
      <c r="M638" s="546"/>
    </row>
    <row r="639" spans="1:13" ht="9.75">
      <c r="A639" s="282">
        <v>11320</v>
      </c>
      <c r="B639" s="283" t="s">
        <v>163</v>
      </c>
      <c r="C639" s="283"/>
      <c r="D639" s="283"/>
      <c r="E639" s="283"/>
      <c r="F639" s="284" t="s">
        <v>110</v>
      </c>
      <c r="G639" s="284">
        <v>0</v>
      </c>
      <c r="H639" s="284">
        <v>0</v>
      </c>
      <c r="I639" s="284">
        <v>0</v>
      </c>
      <c r="J639" s="284">
        <v>0</v>
      </c>
      <c r="K639" s="284">
        <v>0</v>
      </c>
      <c r="L639" s="545"/>
      <c r="M639" s="546"/>
    </row>
    <row r="640" spans="1:13" ht="9.75">
      <c r="A640" s="282">
        <v>11320</v>
      </c>
      <c r="B640" s="283" t="s">
        <v>163</v>
      </c>
      <c r="C640" s="283"/>
      <c r="D640" s="283"/>
      <c r="E640" s="283"/>
      <c r="F640" s="284" t="s">
        <v>113</v>
      </c>
      <c r="G640" s="284">
        <v>0</v>
      </c>
      <c r="H640" s="284">
        <v>0</v>
      </c>
      <c r="I640" s="284">
        <v>0</v>
      </c>
      <c r="J640" s="284">
        <v>0</v>
      </c>
      <c r="K640" s="284">
        <v>0</v>
      </c>
      <c r="L640" s="545"/>
      <c r="M640" s="546"/>
    </row>
    <row r="641" spans="1:13" ht="9.75">
      <c r="A641" s="282">
        <v>11320</v>
      </c>
      <c r="B641" s="283" t="s">
        <v>163</v>
      </c>
      <c r="C641" s="283"/>
      <c r="D641" s="283"/>
      <c r="E641" s="283"/>
      <c r="F641" s="284" t="s">
        <v>116</v>
      </c>
      <c r="G641" s="284">
        <v>0</v>
      </c>
      <c r="H641" s="284">
        <v>4</v>
      </c>
      <c r="I641" s="284">
        <v>191</v>
      </c>
      <c r="J641" s="284">
        <v>0</v>
      </c>
      <c r="K641" s="284">
        <v>195</v>
      </c>
      <c r="L641" s="545"/>
      <c r="M641" s="546"/>
    </row>
    <row r="642" spans="1:13" ht="9.75">
      <c r="A642" s="282">
        <v>11320</v>
      </c>
      <c r="B642" s="283" t="s">
        <v>163</v>
      </c>
      <c r="C642" s="283"/>
      <c r="D642" s="283"/>
      <c r="E642" s="283"/>
      <c r="F642" s="284" t="s">
        <v>114</v>
      </c>
      <c r="G642" s="284">
        <v>0</v>
      </c>
      <c r="H642" s="284">
        <v>37</v>
      </c>
      <c r="I642" s="284">
        <v>229</v>
      </c>
      <c r="J642" s="284">
        <v>1</v>
      </c>
      <c r="K642" s="284">
        <v>267</v>
      </c>
      <c r="L642" s="545"/>
      <c r="M642" s="546"/>
    </row>
    <row r="643" spans="1:13" ht="9.75">
      <c r="A643" s="282">
        <v>11320</v>
      </c>
      <c r="B643" s="283" t="s">
        <v>163</v>
      </c>
      <c r="C643" s="283"/>
      <c r="D643" s="283"/>
      <c r="E643" s="283"/>
      <c r="F643" s="284" t="s">
        <v>119</v>
      </c>
      <c r="G643" s="284">
        <v>0</v>
      </c>
      <c r="H643" s="284">
        <v>1</v>
      </c>
      <c r="I643" s="284">
        <v>94</v>
      </c>
      <c r="J643" s="284">
        <v>0</v>
      </c>
      <c r="K643" s="284">
        <v>95</v>
      </c>
      <c r="L643" s="545"/>
      <c r="M643" s="546"/>
    </row>
    <row r="644" spans="1:13" ht="9.75">
      <c r="A644" s="282">
        <v>11320</v>
      </c>
      <c r="B644" s="283" t="s">
        <v>163</v>
      </c>
      <c r="C644" s="283"/>
      <c r="D644" s="283"/>
      <c r="E644" s="283"/>
      <c r="F644" s="284" t="s">
        <v>122</v>
      </c>
      <c r="G644" s="284">
        <v>0</v>
      </c>
      <c r="H644" s="284">
        <v>149</v>
      </c>
      <c r="I644" s="284">
        <v>311</v>
      </c>
      <c r="J644" s="284">
        <v>4</v>
      </c>
      <c r="K644" s="284">
        <v>464</v>
      </c>
      <c r="L644" s="545"/>
      <c r="M644" s="546"/>
    </row>
    <row r="645" spans="1:13" ht="14.25">
      <c r="A645" s="274">
        <v>11410</v>
      </c>
      <c r="B645" s="275" t="s">
        <v>108</v>
      </c>
      <c r="C645" s="275" t="s">
        <v>361</v>
      </c>
      <c r="D645" s="275" t="s">
        <v>362</v>
      </c>
      <c r="E645" s="276">
        <v>1.2</v>
      </c>
      <c r="F645" s="276" t="s">
        <v>132</v>
      </c>
      <c r="G645" s="276">
        <v>14</v>
      </c>
      <c r="H645" s="276">
        <v>2</v>
      </c>
      <c r="I645" s="276">
        <v>16</v>
      </c>
      <c r="J645" s="276">
        <v>2</v>
      </c>
      <c r="K645" s="276">
        <v>34</v>
      </c>
      <c r="L645" s="276">
        <v>31</v>
      </c>
      <c r="M645" s="277">
        <v>37.2</v>
      </c>
    </row>
    <row r="646" spans="1:13" ht="14.25">
      <c r="A646" s="278">
        <v>11410</v>
      </c>
      <c r="B646" s="279" t="s">
        <v>108</v>
      </c>
      <c r="C646" s="279" t="s">
        <v>361</v>
      </c>
      <c r="D646" s="279" t="s">
        <v>362</v>
      </c>
      <c r="E646" s="280">
        <v>1.2</v>
      </c>
      <c r="F646" s="280" t="s">
        <v>109</v>
      </c>
      <c r="G646" s="280">
        <v>0</v>
      </c>
      <c r="H646" s="280">
        <v>19</v>
      </c>
      <c r="I646" s="280">
        <v>58</v>
      </c>
      <c r="J646" s="280">
        <v>2</v>
      </c>
      <c r="K646" s="280">
        <v>79</v>
      </c>
      <c r="L646" s="280">
        <v>59</v>
      </c>
      <c r="M646" s="281">
        <v>70.8</v>
      </c>
    </row>
    <row r="647" spans="1:13" ht="14.25">
      <c r="A647" s="274">
        <v>11410</v>
      </c>
      <c r="B647" s="275" t="s">
        <v>108</v>
      </c>
      <c r="C647" s="275" t="s">
        <v>363</v>
      </c>
      <c r="D647" s="275" t="s">
        <v>364</v>
      </c>
      <c r="E647" s="276">
        <v>1.2</v>
      </c>
      <c r="F647" s="276" t="s">
        <v>132</v>
      </c>
      <c r="G647" s="276">
        <v>45</v>
      </c>
      <c r="H647" s="276">
        <v>3</v>
      </c>
      <c r="I647" s="276">
        <v>48</v>
      </c>
      <c r="J647" s="276">
        <v>0</v>
      </c>
      <c r="K647" s="276">
        <v>96</v>
      </c>
      <c r="L647" s="276">
        <v>93</v>
      </c>
      <c r="M647" s="277">
        <v>111.6</v>
      </c>
    </row>
    <row r="648" spans="1:13" ht="14.25">
      <c r="A648" s="278">
        <v>11410</v>
      </c>
      <c r="B648" s="279" t="s">
        <v>108</v>
      </c>
      <c r="C648" s="279" t="s">
        <v>363</v>
      </c>
      <c r="D648" s="279" t="s">
        <v>364</v>
      </c>
      <c r="E648" s="280">
        <v>1.2</v>
      </c>
      <c r="F648" s="280" t="s">
        <v>109</v>
      </c>
      <c r="G648" s="280">
        <v>0</v>
      </c>
      <c r="H648" s="280">
        <v>23</v>
      </c>
      <c r="I648" s="280">
        <v>132</v>
      </c>
      <c r="J648" s="280">
        <v>6</v>
      </c>
      <c r="K648" s="280">
        <v>161</v>
      </c>
      <c r="L648" s="280">
        <v>135</v>
      </c>
      <c r="M648" s="281">
        <v>162</v>
      </c>
    </row>
    <row r="649" spans="1:13" ht="14.25">
      <c r="A649" s="274">
        <v>11410</v>
      </c>
      <c r="B649" s="275" t="s">
        <v>108</v>
      </c>
      <c r="C649" s="275" t="s">
        <v>88</v>
      </c>
      <c r="D649" s="275" t="s">
        <v>89</v>
      </c>
      <c r="E649" s="276">
        <v>1.2</v>
      </c>
      <c r="F649" s="276" t="s">
        <v>132</v>
      </c>
      <c r="G649" s="276">
        <v>501</v>
      </c>
      <c r="H649" s="276">
        <v>59</v>
      </c>
      <c r="I649" s="276">
        <v>380</v>
      </c>
      <c r="J649" s="276">
        <v>10</v>
      </c>
      <c r="K649" s="276">
        <v>950</v>
      </c>
      <c r="L649" s="276">
        <v>886</v>
      </c>
      <c r="M649" s="277">
        <v>1063.2</v>
      </c>
    </row>
    <row r="650" spans="1:13" ht="14.25">
      <c r="A650" s="278">
        <v>11410</v>
      </c>
      <c r="B650" s="279" t="s">
        <v>108</v>
      </c>
      <c r="C650" s="279" t="s">
        <v>88</v>
      </c>
      <c r="D650" s="279" t="s">
        <v>89</v>
      </c>
      <c r="E650" s="280">
        <v>1.2</v>
      </c>
      <c r="F650" s="280" t="s">
        <v>109</v>
      </c>
      <c r="G650" s="280">
        <v>0</v>
      </c>
      <c r="H650" s="280">
        <v>354</v>
      </c>
      <c r="I650" s="280">
        <v>1192</v>
      </c>
      <c r="J650" s="280">
        <v>48</v>
      </c>
      <c r="K650" s="280">
        <v>1594</v>
      </c>
      <c r="L650" s="280">
        <v>1216</v>
      </c>
      <c r="M650" s="281">
        <v>1459.2</v>
      </c>
    </row>
    <row r="651" spans="1:13" ht="14.25">
      <c r="A651" s="274">
        <v>11410</v>
      </c>
      <c r="B651" s="275" t="s">
        <v>108</v>
      </c>
      <c r="C651" s="275" t="s">
        <v>242</v>
      </c>
      <c r="D651" s="275" t="s">
        <v>20</v>
      </c>
      <c r="E651" s="276">
        <v>1</v>
      </c>
      <c r="F651" s="276" t="s">
        <v>132</v>
      </c>
      <c r="G651" s="276">
        <v>15</v>
      </c>
      <c r="H651" s="276">
        <v>2</v>
      </c>
      <c r="I651" s="276">
        <v>26</v>
      </c>
      <c r="J651" s="276">
        <v>1</v>
      </c>
      <c r="K651" s="276">
        <v>44</v>
      </c>
      <c r="L651" s="276">
        <v>41.5</v>
      </c>
      <c r="M651" s="277">
        <v>41.5</v>
      </c>
    </row>
    <row r="652" spans="1:13" ht="14.25">
      <c r="A652" s="278">
        <v>11410</v>
      </c>
      <c r="B652" s="279" t="s">
        <v>108</v>
      </c>
      <c r="C652" s="279" t="s">
        <v>242</v>
      </c>
      <c r="D652" s="279" t="s">
        <v>20</v>
      </c>
      <c r="E652" s="280">
        <v>1</v>
      </c>
      <c r="F652" s="280" t="s">
        <v>109</v>
      </c>
      <c r="G652" s="280">
        <v>0</v>
      </c>
      <c r="H652" s="280">
        <v>14</v>
      </c>
      <c r="I652" s="280">
        <v>69</v>
      </c>
      <c r="J652" s="280">
        <v>2</v>
      </c>
      <c r="K652" s="280">
        <v>85</v>
      </c>
      <c r="L652" s="280">
        <v>70</v>
      </c>
      <c r="M652" s="281">
        <v>70</v>
      </c>
    </row>
    <row r="653" spans="1:13" ht="14.25">
      <c r="A653" s="274">
        <v>11410</v>
      </c>
      <c r="B653" s="275" t="s">
        <v>108</v>
      </c>
      <c r="C653" s="275" t="s">
        <v>111</v>
      </c>
      <c r="D653" s="275" t="s">
        <v>112</v>
      </c>
      <c r="E653" s="276">
        <v>1.2</v>
      </c>
      <c r="F653" s="276" t="s">
        <v>110</v>
      </c>
      <c r="G653" s="276">
        <v>87</v>
      </c>
      <c r="H653" s="276">
        <v>3</v>
      </c>
      <c r="I653" s="276">
        <v>54</v>
      </c>
      <c r="J653" s="276">
        <v>2</v>
      </c>
      <c r="K653" s="276">
        <v>146</v>
      </c>
      <c r="L653" s="276">
        <v>142</v>
      </c>
      <c r="M653" s="277">
        <v>170.4</v>
      </c>
    </row>
    <row r="654" spans="1:13" ht="14.25">
      <c r="A654" s="278">
        <v>11410</v>
      </c>
      <c r="B654" s="279" t="s">
        <v>108</v>
      </c>
      <c r="C654" s="279" t="s">
        <v>111</v>
      </c>
      <c r="D654" s="279" t="s">
        <v>112</v>
      </c>
      <c r="E654" s="280">
        <v>1.2</v>
      </c>
      <c r="F654" s="280" t="s">
        <v>113</v>
      </c>
      <c r="G654" s="280">
        <v>0</v>
      </c>
      <c r="H654" s="280">
        <v>66</v>
      </c>
      <c r="I654" s="280">
        <v>474</v>
      </c>
      <c r="J654" s="280">
        <v>7</v>
      </c>
      <c r="K654" s="280">
        <v>547</v>
      </c>
      <c r="L654" s="280">
        <v>477.5</v>
      </c>
      <c r="M654" s="281">
        <v>573</v>
      </c>
    </row>
    <row r="655" spans="1:13" ht="14.25">
      <c r="A655" s="274">
        <v>11410</v>
      </c>
      <c r="B655" s="275" t="s">
        <v>108</v>
      </c>
      <c r="C655" s="275" t="s">
        <v>281</v>
      </c>
      <c r="D655" s="275" t="s">
        <v>91</v>
      </c>
      <c r="E655" s="276">
        <v>1.2</v>
      </c>
      <c r="F655" s="276" t="s">
        <v>113</v>
      </c>
      <c r="G655" s="276">
        <v>0</v>
      </c>
      <c r="H655" s="276">
        <v>0</v>
      </c>
      <c r="I655" s="276">
        <v>1</v>
      </c>
      <c r="J655" s="276">
        <v>0</v>
      </c>
      <c r="K655" s="276">
        <v>1</v>
      </c>
      <c r="L655" s="276">
        <v>1</v>
      </c>
      <c r="M655" s="277">
        <v>1.2</v>
      </c>
    </row>
    <row r="656" spans="1:13" ht="14.25">
      <c r="A656" s="278">
        <v>11410</v>
      </c>
      <c r="B656" s="279" t="s">
        <v>108</v>
      </c>
      <c r="C656" s="279" t="s">
        <v>115</v>
      </c>
      <c r="D656" s="279" t="s">
        <v>93</v>
      </c>
      <c r="E656" s="280">
        <v>1</v>
      </c>
      <c r="F656" s="280" t="s">
        <v>116</v>
      </c>
      <c r="G656" s="280">
        <v>0</v>
      </c>
      <c r="H656" s="280">
        <v>0</v>
      </c>
      <c r="I656" s="280">
        <v>32</v>
      </c>
      <c r="J656" s="280">
        <v>1</v>
      </c>
      <c r="K656" s="280">
        <v>33</v>
      </c>
      <c r="L656" s="280">
        <v>32.5</v>
      </c>
      <c r="M656" s="281">
        <v>32.5</v>
      </c>
    </row>
    <row r="657" spans="1:13" ht="14.25">
      <c r="A657" s="274">
        <v>11410</v>
      </c>
      <c r="B657" s="275" t="s">
        <v>108</v>
      </c>
      <c r="C657" s="275" t="s">
        <v>115</v>
      </c>
      <c r="D657" s="275" t="s">
        <v>93</v>
      </c>
      <c r="E657" s="276">
        <v>1</v>
      </c>
      <c r="F657" s="276" t="s">
        <v>114</v>
      </c>
      <c r="G657" s="276">
        <v>0</v>
      </c>
      <c r="H657" s="276">
        <v>3</v>
      </c>
      <c r="I657" s="276">
        <v>25</v>
      </c>
      <c r="J657" s="276">
        <v>1</v>
      </c>
      <c r="K657" s="276">
        <v>29</v>
      </c>
      <c r="L657" s="276">
        <v>25.5</v>
      </c>
      <c r="M657" s="277">
        <v>25.5</v>
      </c>
    </row>
    <row r="658" spans="1:13" ht="14.25">
      <c r="A658" s="278">
        <v>11410</v>
      </c>
      <c r="B658" s="279" t="s">
        <v>108</v>
      </c>
      <c r="C658" s="279" t="s">
        <v>90</v>
      </c>
      <c r="D658" s="279" t="s">
        <v>91</v>
      </c>
      <c r="E658" s="280">
        <v>1.2</v>
      </c>
      <c r="F658" s="280" t="s">
        <v>116</v>
      </c>
      <c r="G658" s="280">
        <v>0</v>
      </c>
      <c r="H658" s="280">
        <v>10</v>
      </c>
      <c r="I658" s="280">
        <v>304</v>
      </c>
      <c r="J658" s="280">
        <v>6</v>
      </c>
      <c r="K658" s="280">
        <v>320</v>
      </c>
      <c r="L658" s="280">
        <v>307</v>
      </c>
      <c r="M658" s="281">
        <v>368.4</v>
      </c>
    </row>
    <row r="659" spans="1:13" ht="14.25">
      <c r="A659" s="274">
        <v>11410</v>
      </c>
      <c r="B659" s="275" t="s">
        <v>108</v>
      </c>
      <c r="C659" s="275" t="s">
        <v>90</v>
      </c>
      <c r="D659" s="275" t="s">
        <v>91</v>
      </c>
      <c r="E659" s="276">
        <v>1.2</v>
      </c>
      <c r="F659" s="276" t="s">
        <v>114</v>
      </c>
      <c r="G659" s="276">
        <v>0</v>
      </c>
      <c r="H659" s="276">
        <v>148</v>
      </c>
      <c r="I659" s="276">
        <v>432</v>
      </c>
      <c r="J659" s="276">
        <v>6</v>
      </c>
      <c r="K659" s="276">
        <v>586</v>
      </c>
      <c r="L659" s="276">
        <v>435</v>
      </c>
      <c r="M659" s="277">
        <v>522</v>
      </c>
    </row>
    <row r="660" spans="1:13" ht="14.25">
      <c r="A660" s="278">
        <v>11410</v>
      </c>
      <c r="B660" s="279" t="s">
        <v>108</v>
      </c>
      <c r="C660" s="279" t="s">
        <v>365</v>
      </c>
      <c r="D660" s="279" t="s">
        <v>364</v>
      </c>
      <c r="E660" s="280">
        <v>1.2</v>
      </c>
      <c r="F660" s="280" t="s">
        <v>116</v>
      </c>
      <c r="G660" s="280">
        <v>0</v>
      </c>
      <c r="H660" s="280">
        <v>1</v>
      </c>
      <c r="I660" s="280">
        <v>70</v>
      </c>
      <c r="J660" s="280">
        <v>0</v>
      </c>
      <c r="K660" s="280">
        <v>71</v>
      </c>
      <c r="L660" s="280">
        <v>70</v>
      </c>
      <c r="M660" s="281">
        <v>84</v>
      </c>
    </row>
    <row r="661" spans="1:13" ht="14.25">
      <c r="A661" s="274">
        <v>11410</v>
      </c>
      <c r="B661" s="275" t="s">
        <v>108</v>
      </c>
      <c r="C661" s="275" t="s">
        <v>365</v>
      </c>
      <c r="D661" s="275" t="s">
        <v>364</v>
      </c>
      <c r="E661" s="276">
        <v>1.2</v>
      </c>
      <c r="F661" s="276" t="s">
        <v>114</v>
      </c>
      <c r="G661" s="276">
        <v>0</v>
      </c>
      <c r="H661" s="276">
        <v>14</v>
      </c>
      <c r="I661" s="276">
        <v>93</v>
      </c>
      <c r="J661" s="276">
        <v>3</v>
      </c>
      <c r="K661" s="276">
        <v>110</v>
      </c>
      <c r="L661" s="276">
        <v>94.5</v>
      </c>
      <c r="M661" s="277">
        <v>113.4</v>
      </c>
    </row>
    <row r="662" spans="1:13" ht="14.25">
      <c r="A662" s="278">
        <v>11410</v>
      </c>
      <c r="B662" s="279" t="s">
        <v>108</v>
      </c>
      <c r="C662" s="279" t="s">
        <v>366</v>
      </c>
      <c r="D662" s="279" t="s">
        <v>89</v>
      </c>
      <c r="E662" s="280">
        <v>1.2</v>
      </c>
      <c r="F662" s="280" t="s">
        <v>116</v>
      </c>
      <c r="G662" s="280">
        <v>0</v>
      </c>
      <c r="H662" s="280">
        <v>0</v>
      </c>
      <c r="I662" s="280">
        <v>33</v>
      </c>
      <c r="J662" s="280">
        <v>1</v>
      </c>
      <c r="K662" s="280">
        <v>34</v>
      </c>
      <c r="L662" s="280">
        <v>33.5</v>
      </c>
      <c r="M662" s="281">
        <v>40.2</v>
      </c>
    </row>
    <row r="663" spans="1:13" ht="14.25">
      <c r="A663" s="274">
        <v>11410</v>
      </c>
      <c r="B663" s="275" t="s">
        <v>108</v>
      </c>
      <c r="C663" s="275" t="s">
        <v>366</v>
      </c>
      <c r="D663" s="275" t="s">
        <v>89</v>
      </c>
      <c r="E663" s="276">
        <v>1.2</v>
      </c>
      <c r="F663" s="276" t="s">
        <v>114</v>
      </c>
      <c r="G663" s="276">
        <v>0</v>
      </c>
      <c r="H663" s="276">
        <v>8</v>
      </c>
      <c r="I663" s="276">
        <v>52</v>
      </c>
      <c r="J663" s="276">
        <v>0</v>
      </c>
      <c r="K663" s="276">
        <v>60</v>
      </c>
      <c r="L663" s="276">
        <v>52</v>
      </c>
      <c r="M663" s="277">
        <v>62.4</v>
      </c>
    </row>
    <row r="664" spans="1:13" ht="14.25">
      <c r="A664" s="278">
        <v>11410</v>
      </c>
      <c r="B664" s="279" t="s">
        <v>108</v>
      </c>
      <c r="C664" s="279" t="s">
        <v>252</v>
      </c>
      <c r="D664" s="279" t="s">
        <v>20</v>
      </c>
      <c r="E664" s="280">
        <v>1</v>
      </c>
      <c r="F664" s="280" t="s">
        <v>116</v>
      </c>
      <c r="G664" s="280">
        <v>0</v>
      </c>
      <c r="H664" s="280">
        <v>0</v>
      </c>
      <c r="I664" s="280">
        <v>27</v>
      </c>
      <c r="J664" s="280">
        <v>0</v>
      </c>
      <c r="K664" s="280">
        <v>27</v>
      </c>
      <c r="L664" s="280">
        <v>27</v>
      </c>
      <c r="M664" s="281">
        <v>27</v>
      </c>
    </row>
    <row r="665" spans="1:13" ht="14.25">
      <c r="A665" s="274">
        <v>11410</v>
      </c>
      <c r="B665" s="275" t="s">
        <v>108</v>
      </c>
      <c r="C665" s="275" t="s">
        <v>252</v>
      </c>
      <c r="D665" s="275" t="s">
        <v>20</v>
      </c>
      <c r="E665" s="276">
        <v>1</v>
      </c>
      <c r="F665" s="276" t="s">
        <v>114</v>
      </c>
      <c r="G665" s="276">
        <v>0</v>
      </c>
      <c r="H665" s="276">
        <v>8</v>
      </c>
      <c r="I665" s="276">
        <v>48</v>
      </c>
      <c r="J665" s="276">
        <v>0</v>
      </c>
      <c r="K665" s="276">
        <v>56</v>
      </c>
      <c r="L665" s="276">
        <v>48</v>
      </c>
      <c r="M665" s="277">
        <v>48</v>
      </c>
    </row>
    <row r="666" spans="1:13" ht="14.25">
      <c r="A666" s="278">
        <v>11410</v>
      </c>
      <c r="B666" s="279" t="s">
        <v>108</v>
      </c>
      <c r="C666" s="279" t="s">
        <v>66</v>
      </c>
      <c r="D666" s="279" t="s">
        <v>62</v>
      </c>
      <c r="E666" s="280">
        <v>1</v>
      </c>
      <c r="F666" s="280" t="s">
        <v>119</v>
      </c>
      <c r="G666" s="280">
        <v>0</v>
      </c>
      <c r="H666" s="280">
        <v>0</v>
      </c>
      <c r="I666" s="280">
        <v>13</v>
      </c>
      <c r="J666" s="280">
        <v>0</v>
      </c>
      <c r="K666" s="280">
        <v>13</v>
      </c>
      <c r="L666" s="280">
        <v>13</v>
      </c>
      <c r="M666" s="281">
        <v>13</v>
      </c>
    </row>
    <row r="667" spans="1:13" ht="14.25">
      <c r="A667" s="274">
        <v>11410</v>
      </c>
      <c r="B667" s="275" t="s">
        <v>108</v>
      </c>
      <c r="C667" s="275" t="s">
        <v>66</v>
      </c>
      <c r="D667" s="275" t="s">
        <v>62</v>
      </c>
      <c r="E667" s="276">
        <v>1</v>
      </c>
      <c r="F667" s="276" t="s">
        <v>122</v>
      </c>
      <c r="G667" s="276">
        <v>0</v>
      </c>
      <c r="H667" s="276">
        <v>2</v>
      </c>
      <c r="I667" s="276">
        <v>14</v>
      </c>
      <c r="J667" s="276">
        <v>0</v>
      </c>
      <c r="K667" s="276">
        <v>16</v>
      </c>
      <c r="L667" s="276">
        <v>14</v>
      </c>
      <c r="M667" s="277">
        <v>14</v>
      </c>
    </row>
    <row r="668" spans="1:13" ht="14.25">
      <c r="A668" s="278">
        <v>11410</v>
      </c>
      <c r="B668" s="279" t="s">
        <v>108</v>
      </c>
      <c r="C668" s="279" t="s">
        <v>255</v>
      </c>
      <c r="D668" s="279" t="s">
        <v>39</v>
      </c>
      <c r="E668" s="280">
        <v>1</v>
      </c>
      <c r="F668" s="280" t="s">
        <v>119</v>
      </c>
      <c r="G668" s="280">
        <v>0</v>
      </c>
      <c r="H668" s="280">
        <v>3</v>
      </c>
      <c r="I668" s="280">
        <v>1</v>
      </c>
      <c r="J668" s="280">
        <v>0</v>
      </c>
      <c r="K668" s="280">
        <v>4</v>
      </c>
      <c r="L668" s="280">
        <v>1</v>
      </c>
      <c r="M668" s="281">
        <v>1</v>
      </c>
    </row>
    <row r="669" spans="1:13" ht="14.25">
      <c r="A669" s="274">
        <v>11410</v>
      </c>
      <c r="B669" s="275" t="s">
        <v>108</v>
      </c>
      <c r="C669" s="275" t="s">
        <v>255</v>
      </c>
      <c r="D669" s="275" t="s">
        <v>39</v>
      </c>
      <c r="E669" s="276">
        <v>1</v>
      </c>
      <c r="F669" s="276" t="s">
        <v>122</v>
      </c>
      <c r="G669" s="276">
        <v>0</v>
      </c>
      <c r="H669" s="276">
        <v>9</v>
      </c>
      <c r="I669" s="276">
        <v>11</v>
      </c>
      <c r="J669" s="276">
        <v>1</v>
      </c>
      <c r="K669" s="276">
        <v>21</v>
      </c>
      <c r="L669" s="276">
        <v>11.5</v>
      </c>
      <c r="M669" s="277">
        <v>11.5</v>
      </c>
    </row>
    <row r="670" spans="1:13" ht="14.25">
      <c r="A670" s="278">
        <v>11410</v>
      </c>
      <c r="B670" s="279" t="s">
        <v>108</v>
      </c>
      <c r="C670" s="279" t="s">
        <v>92</v>
      </c>
      <c r="D670" s="279" t="s">
        <v>93</v>
      </c>
      <c r="E670" s="280">
        <v>1</v>
      </c>
      <c r="F670" s="280" t="s">
        <v>119</v>
      </c>
      <c r="G670" s="280">
        <v>0</v>
      </c>
      <c r="H670" s="280">
        <v>2</v>
      </c>
      <c r="I670" s="280">
        <v>24</v>
      </c>
      <c r="J670" s="280">
        <v>0</v>
      </c>
      <c r="K670" s="280">
        <v>26</v>
      </c>
      <c r="L670" s="280">
        <v>24</v>
      </c>
      <c r="M670" s="281">
        <v>24</v>
      </c>
    </row>
    <row r="671" spans="1:13" ht="14.25">
      <c r="A671" s="274">
        <v>11410</v>
      </c>
      <c r="B671" s="275" t="s">
        <v>108</v>
      </c>
      <c r="C671" s="275" t="s">
        <v>92</v>
      </c>
      <c r="D671" s="275" t="s">
        <v>93</v>
      </c>
      <c r="E671" s="276">
        <v>1</v>
      </c>
      <c r="F671" s="276" t="s">
        <v>122</v>
      </c>
      <c r="G671" s="276">
        <v>0</v>
      </c>
      <c r="H671" s="276">
        <v>48</v>
      </c>
      <c r="I671" s="276">
        <v>61</v>
      </c>
      <c r="J671" s="276">
        <v>3</v>
      </c>
      <c r="K671" s="276">
        <v>112</v>
      </c>
      <c r="L671" s="276">
        <v>62.5</v>
      </c>
      <c r="M671" s="277">
        <v>62.5</v>
      </c>
    </row>
    <row r="672" spans="1:13" ht="14.25">
      <c r="A672" s="278">
        <v>11410</v>
      </c>
      <c r="B672" s="279" t="s">
        <v>108</v>
      </c>
      <c r="C672" s="279" t="s">
        <v>367</v>
      </c>
      <c r="D672" s="279" t="s">
        <v>89</v>
      </c>
      <c r="E672" s="280">
        <v>1.2</v>
      </c>
      <c r="F672" s="280" t="s">
        <v>119</v>
      </c>
      <c r="G672" s="280">
        <v>0</v>
      </c>
      <c r="H672" s="280">
        <v>0</v>
      </c>
      <c r="I672" s="280">
        <v>6</v>
      </c>
      <c r="J672" s="280">
        <v>0</v>
      </c>
      <c r="K672" s="280">
        <v>6</v>
      </c>
      <c r="L672" s="280">
        <v>6</v>
      </c>
      <c r="M672" s="281">
        <v>7.2</v>
      </c>
    </row>
    <row r="673" spans="1:13" ht="14.25">
      <c r="A673" s="274">
        <v>11410</v>
      </c>
      <c r="B673" s="275" t="s">
        <v>108</v>
      </c>
      <c r="C673" s="275" t="s">
        <v>367</v>
      </c>
      <c r="D673" s="275" t="s">
        <v>89</v>
      </c>
      <c r="E673" s="276">
        <v>1.2</v>
      </c>
      <c r="F673" s="276" t="s">
        <v>122</v>
      </c>
      <c r="G673" s="276">
        <v>0</v>
      </c>
      <c r="H673" s="276">
        <v>9</v>
      </c>
      <c r="I673" s="276">
        <v>11</v>
      </c>
      <c r="J673" s="276">
        <v>1</v>
      </c>
      <c r="K673" s="276">
        <v>21</v>
      </c>
      <c r="L673" s="276">
        <v>11.5</v>
      </c>
      <c r="M673" s="277">
        <v>13.8</v>
      </c>
    </row>
    <row r="674" spans="1:13" ht="14.25">
      <c r="A674" s="278">
        <v>11410</v>
      </c>
      <c r="B674" s="279" t="s">
        <v>108</v>
      </c>
      <c r="C674" s="279" t="s">
        <v>19</v>
      </c>
      <c r="D674" s="279" t="s">
        <v>20</v>
      </c>
      <c r="E674" s="280">
        <v>1</v>
      </c>
      <c r="F674" s="280" t="s">
        <v>119</v>
      </c>
      <c r="G674" s="280">
        <v>0</v>
      </c>
      <c r="H674" s="280">
        <v>0</v>
      </c>
      <c r="I674" s="280">
        <v>6</v>
      </c>
      <c r="J674" s="280">
        <v>0</v>
      </c>
      <c r="K674" s="280">
        <v>6</v>
      </c>
      <c r="L674" s="280">
        <v>6</v>
      </c>
      <c r="M674" s="281">
        <v>6</v>
      </c>
    </row>
    <row r="675" spans="1:13" ht="14.25">
      <c r="A675" s="274">
        <v>11410</v>
      </c>
      <c r="B675" s="275" t="s">
        <v>108</v>
      </c>
      <c r="C675" s="275" t="s">
        <v>19</v>
      </c>
      <c r="D675" s="275" t="s">
        <v>20</v>
      </c>
      <c r="E675" s="276">
        <v>1</v>
      </c>
      <c r="F675" s="276" t="s">
        <v>122</v>
      </c>
      <c r="G675" s="276">
        <v>0</v>
      </c>
      <c r="H675" s="276">
        <v>8</v>
      </c>
      <c r="I675" s="276">
        <v>12</v>
      </c>
      <c r="J675" s="276">
        <v>0</v>
      </c>
      <c r="K675" s="276">
        <v>20</v>
      </c>
      <c r="L675" s="276">
        <v>12</v>
      </c>
      <c r="M675" s="277">
        <v>12</v>
      </c>
    </row>
    <row r="676" spans="1:13" ht="9.75">
      <c r="A676" s="282">
        <v>11410</v>
      </c>
      <c r="B676" s="283" t="s">
        <v>163</v>
      </c>
      <c r="C676" s="283"/>
      <c r="D676" s="283"/>
      <c r="E676" s="283"/>
      <c r="F676" s="284" t="s">
        <v>132</v>
      </c>
      <c r="G676" s="284">
        <v>575</v>
      </c>
      <c r="H676" s="284">
        <v>66</v>
      </c>
      <c r="I676" s="284">
        <v>470</v>
      </c>
      <c r="J676" s="284">
        <v>13</v>
      </c>
      <c r="K676" s="284">
        <v>1124</v>
      </c>
      <c r="L676" s="545"/>
      <c r="M676" s="546"/>
    </row>
    <row r="677" spans="1:13" ht="9.75">
      <c r="A677" s="282">
        <v>11410</v>
      </c>
      <c r="B677" s="283" t="s">
        <v>163</v>
      </c>
      <c r="C677" s="283"/>
      <c r="D677" s="283"/>
      <c r="E677" s="283"/>
      <c r="F677" s="284" t="s">
        <v>109</v>
      </c>
      <c r="G677" s="284">
        <v>0</v>
      </c>
      <c r="H677" s="284">
        <v>410</v>
      </c>
      <c r="I677" s="284">
        <v>1451</v>
      </c>
      <c r="J677" s="284">
        <v>58</v>
      </c>
      <c r="K677" s="284">
        <v>1919</v>
      </c>
      <c r="L677" s="545"/>
      <c r="M677" s="546"/>
    </row>
    <row r="678" spans="1:13" ht="9.75">
      <c r="A678" s="282">
        <v>11410</v>
      </c>
      <c r="B678" s="283" t="s">
        <v>163</v>
      </c>
      <c r="C678" s="283"/>
      <c r="D678" s="283"/>
      <c r="E678" s="283"/>
      <c r="F678" s="284" t="s">
        <v>110</v>
      </c>
      <c r="G678" s="284">
        <v>87</v>
      </c>
      <c r="H678" s="284">
        <v>3</v>
      </c>
      <c r="I678" s="284">
        <v>54</v>
      </c>
      <c r="J678" s="284">
        <v>2</v>
      </c>
      <c r="K678" s="284">
        <v>146</v>
      </c>
      <c r="L678" s="545"/>
      <c r="M678" s="546"/>
    </row>
    <row r="679" spans="1:13" ht="9.75">
      <c r="A679" s="282">
        <v>11410</v>
      </c>
      <c r="B679" s="283" t="s">
        <v>163</v>
      </c>
      <c r="C679" s="283"/>
      <c r="D679" s="283"/>
      <c r="E679" s="283"/>
      <c r="F679" s="284" t="s">
        <v>113</v>
      </c>
      <c r="G679" s="284">
        <v>0</v>
      </c>
      <c r="H679" s="284">
        <v>66</v>
      </c>
      <c r="I679" s="284">
        <v>475</v>
      </c>
      <c r="J679" s="284">
        <v>7</v>
      </c>
      <c r="K679" s="284">
        <v>548</v>
      </c>
      <c r="L679" s="545"/>
      <c r="M679" s="546"/>
    </row>
    <row r="680" spans="1:13" ht="9.75">
      <c r="A680" s="282">
        <v>11410</v>
      </c>
      <c r="B680" s="283" t="s">
        <v>163</v>
      </c>
      <c r="C680" s="283"/>
      <c r="D680" s="283"/>
      <c r="E680" s="283"/>
      <c r="F680" s="284" t="s">
        <v>116</v>
      </c>
      <c r="G680" s="284">
        <v>0</v>
      </c>
      <c r="H680" s="284">
        <v>11</v>
      </c>
      <c r="I680" s="284">
        <v>466</v>
      </c>
      <c r="J680" s="284">
        <v>8</v>
      </c>
      <c r="K680" s="284">
        <v>485</v>
      </c>
      <c r="L680" s="545"/>
      <c r="M680" s="546"/>
    </row>
    <row r="681" spans="1:13" ht="9.75">
      <c r="A681" s="282">
        <v>11410</v>
      </c>
      <c r="B681" s="283" t="s">
        <v>163</v>
      </c>
      <c r="C681" s="283"/>
      <c r="D681" s="283"/>
      <c r="E681" s="283"/>
      <c r="F681" s="284" t="s">
        <v>114</v>
      </c>
      <c r="G681" s="284">
        <v>0</v>
      </c>
      <c r="H681" s="284">
        <v>181</v>
      </c>
      <c r="I681" s="284">
        <v>650</v>
      </c>
      <c r="J681" s="284">
        <v>10</v>
      </c>
      <c r="K681" s="284">
        <v>841</v>
      </c>
      <c r="L681" s="545"/>
      <c r="M681" s="546"/>
    </row>
    <row r="682" spans="1:13" ht="9.75">
      <c r="A682" s="282">
        <v>11410</v>
      </c>
      <c r="B682" s="283" t="s">
        <v>163</v>
      </c>
      <c r="C682" s="283"/>
      <c r="D682" s="283"/>
      <c r="E682" s="283"/>
      <c r="F682" s="284" t="s">
        <v>119</v>
      </c>
      <c r="G682" s="284">
        <v>0</v>
      </c>
      <c r="H682" s="284">
        <v>5</v>
      </c>
      <c r="I682" s="284">
        <v>50</v>
      </c>
      <c r="J682" s="284">
        <v>0</v>
      </c>
      <c r="K682" s="284">
        <v>55</v>
      </c>
      <c r="L682" s="545"/>
      <c r="M682" s="546"/>
    </row>
    <row r="683" spans="1:13" ht="9.75">
      <c r="A683" s="282">
        <v>11410</v>
      </c>
      <c r="B683" s="283" t="s">
        <v>163</v>
      </c>
      <c r="C683" s="283"/>
      <c r="D683" s="283"/>
      <c r="E683" s="283"/>
      <c r="F683" s="284" t="s">
        <v>122</v>
      </c>
      <c r="G683" s="284">
        <v>0</v>
      </c>
      <c r="H683" s="284">
        <v>76</v>
      </c>
      <c r="I683" s="284">
        <v>109</v>
      </c>
      <c r="J683" s="284">
        <v>5</v>
      </c>
      <c r="K683" s="284">
        <v>190</v>
      </c>
      <c r="L683" s="545"/>
      <c r="M683" s="546"/>
    </row>
    <row r="684" spans="1:13" ht="14.25">
      <c r="A684" s="278">
        <v>11510</v>
      </c>
      <c r="B684" s="279" t="s">
        <v>368</v>
      </c>
      <c r="C684" s="279" t="s">
        <v>95</v>
      </c>
      <c r="D684" s="279" t="s">
        <v>18</v>
      </c>
      <c r="E684" s="280">
        <v>2.25</v>
      </c>
      <c r="F684" s="280" t="s">
        <v>132</v>
      </c>
      <c r="G684" s="280">
        <v>43</v>
      </c>
      <c r="H684" s="280">
        <v>4</v>
      </c>
      <c r="I684" s="280">
        <v>42</v>
      </c>
      <c r="J684" s="280">
        <v>0</v>
      </c>
      <c r="K684" s="280">
        <v>89</v>
      </c>
      <c r="L684" s="280">
        <v>85</v>
      </c>
      <c r="M684" s="281">
        <v>191.25</v>
      </c>
    </row>
    <row r="685" spans="1:13" ht="14.25">
      <c r="A685" s="274">
        <v>11510</v>
      </c>
      <c r="B685" s="275" t="s">
        <v>368</v>
      </c>
      <c r="C685" s="275" t="s">
        <v>95</v>
      </c>
      <c r="D685" s="275" t="s">
        <v>18</v>
      </c>
      <c r="E685" s="276">
        <v>2.25</v>
      </c>
      <c r="F685" s="276" t="s">
        <v>109</v>
      </c>
      <c r="G685" s="276">
        <v>0</v>
      </c>
      <c r="H685" s="276">
        <v>10</v>
      </c>
      <c r="I685" s="276">
        <v>109</v>
      </c>
      <c r="J685" s="276">
        <v>1</v>
      </c>
      <c r="K685" s="276">
        <v>120</v>
      </c>
      <c r="L685" s="276">
        <v>109.5</v>
      </c>
      <c r="M685" s="277">
        <v>246.38</v>
      </c>
    </row>
    <row r="686" spans="1:13" ht="14.25">
      <c r="A686" s="278">
        <v>11510</v>
      </c>
      <c r="B686" s="279" t="s">
        <v>368</v>
      </c>
      <c r="C686" s="279" t="s">
        <v>96</v>
      </c>
      <c r="D686" s="279" t="s">
        <v>97</v>
      </c>
      <c r="E686" s="280">
        <v>1.65</v>
      </c>
      <c r="F686" s="280" t="s">
        <v>132</v>
      </c>
      <c r="G686" s="280">
        <v>232</v>
      </c>
      <c r="H686" s="280">
        <v>8</v>
      </c>
      <c r="I686" s="280">
        <v>141</v>
      </c>
      <c r="J686" s="280">
        <v>2</v>
      </c>
      <c r="K686" s="280">
        <v>383</v>
      </c>
      <c r="L686" s="280">
        <v>374</v>
      </c>
      <c r="M686" s="281">
        <v>617.1</v>
      </c>
    </row>
    <row r="687" spans="1:13" ht="14.25">
      <c r="A687" s="274">
        <v>11510</v>
      </c>
      <c r="B687" s="275" t="s">
        <v>368</v>
      </c>
      <c r="C687" s="275" t="s">
        <v>96</v>
      </c>
      <c r="D687" s="275" t="s">
        <v>97</v>
      </c>
      <c r="E687" s="276">
        <v>1.65</v>
      </c>
      <c r="F687" s="276" t="s">
        <v>109</v>
      </c>
      <c r="G687" s="276">
        <v>0</v>
      </c>
      <c r="H687" s="276">
        <v>73</v>
      </c>
      <c r="I687" s="276">
        <v>516</v>
      </c>
      <c r="J687" s="276">
        <v>13</v>
      </c>
      <c r="K687" s="276">
        <v>602</v>
      </c>
      <c r="L687" s="276">
        <v>522.5</v>
      </c>
      <c r="M687" s="277">
        <v>862.13</v>
      </c>
    </row>
    <row r="688" spans="1:13" ht="14.25">
      <c r="A688" s="278">
        <v>11510</v>
      </c>
      <c r="B688" s="279" t="s">
        <v>368</v>
      </c>
      <c r="C688" s="279" t="s">
        <v>98</v>
      </c>
      <c r="D688" s="279" t="s">
        <v>18</v>
      </c>
      <c r="E688" s="280">
        <v>2.25</v>
      </c>
      <c r="F688" s="280" t="s">
        <v>116</v>
      </c>
      <c r="G688" s="280">
        <v>0</v>
      </c>
      <c r="H688" s="280">
        <v>0</v>
      </c>
      <c r="I688" s="280">
        <v>60</v>
      </c>
      <c r="J688" s="280">
        <v>0</v>
      </c>
      <c r="K688" s="280">
        <v>60</v>
      </c>
      <c r="L688" s="280">
        <v>60</v>
      </c>
      <c r="M688" s="281">
        <v>135</v>
      </c>
    </row>
    <row r="689" spans="1:13" ht="14.25">
      <c r="A689" s="274">
        <v>11510</v>
      </c>
      <c r="B689" s="275" t="s">
        <v>368</v>
      </c>
      <c r="C689" s="275" t="s">
        <v>98</v>
      </c>
      <c r="D689" s="275" t="s">
        <v>18</v>
      </c>
      <c r="E689" s="276">
        <v>2.25</v>
      </c>
      <c r="F689" s="276" t="s">
        <v>114</v>
      </c>
      <c r="G689" s="276">
        <v>0</v>
      </c>
      <c r="H689" s="276">
        <v>5</v>
      </c>
      <c r="I689" s="276">
        <v>63</v>
      </c>
      <c r="J689" s="276">
        <v>1</v>
      </c>
      <c r="K689" s="276">
        <v>69</v>
      </c>
      <c r="L689" s="276">
        <v>63.5</v>
      </c>
      <c r="M689" s="277">
        <v>142.88</v>
      </c>
    </row>
    <row r="690" spans="1:13" ht="14.25">
      <c r="A690" s="278">
        <v>11510</v>
      </c>
      <c r="B690" s="279" t="s">
        <v>368</v>
      </c>
      <c r="C690" s="279" t="s">
        <v>369</v>
      </c>
      <c r="D690" s="279" t="s">
        <v>97</v>
      </c>
      <c r="E690" s="280">
        <v>1.65</v>
      </c>
      <c r="F690" s="280" t="s">
        <v>116</v>
      </c>
      <c r="G690" s="280">
        <v>0</v>
      </c>
      <c r="H690" s="280">
        <v>4</v>
      </c>
      <c r="I690" s="280">
        <v>250</v>
      </c>
      <c r="J690" s="280">
        <v>2</v>
      </c>
      <c r="K690" s="280">
        <v>256</v>
      </c>
      <c r="L690" s="280">
        <v>251</v>
      </c>
      <c r="M690" s="281">
        <v>414.15</v>
      </c>
    </row>
    <row r="691" spans="1:13" ht="14.25">
      <c r="A691" s="274">
        <v>11510</v>
      </c>
      <c r="B691" s="275" t="s">
        <v>368</v>
      </c>
      <c r="C691" s="275" t="s">
        <v>369</v>
      </c>
      <c r="D691" s="275" t="s">
        <v>97</v>
      </c>
      <c r="E691" s="276">
        <v>1.65</v>
      </c>
      <c r="F691" s="276" t="s">
        <v>114</v>
      </c>
      <c r="G691" s="276">
        <v>0</v>
      </c>
      <c r="H691" s="276">
        <v>24</v>
      </c>
      <c r="I691" s="276">
        <v>225</v>
      </c>
      <c r="J691" s="276">
        <v>3</v>
      </c>
      <c r="K691" s="276">
        <v>252</v>
      </c>
      <c r="L691" s="276">
        <v>226.5</v>
      </c>
      <c r="M691" s="277">
        <v>373.73</v>
      </c>
    </row>
    <row r="692" spans="1:13" ht="14.25">
      <c r="A692" s="278">
        <v>11510</v>
      </c>
      <c r="B692" s="279" t="s">
        <v>368</v>
      </c>
      <c r="C692" s="279" t="s">
        <v>168</v>
      </c>
      <c r="D692" s="279" t="s">
        <v>169</v>
      </c>
      <c r="E692" s="280">
        <v>2.25</v>
      </c>
      <c r="F692" s="280" t="s">
        <v>119</v>
      </c>
      <c r="G692" s="280">
        <v>0</v>
      </c>
      <c r="H692" s="280">
        <v>0</v>
      </c>
      <c r="I692" s="280">
        <v>4</v>
      </c>
      <c r="J692" s="280">
        <v>0</v>
      </c>
      <c r="K692" s="280">
        <v>4</v>
      </c>
      <c r="L692" s="280">
        <v>4</v>
      </c>
      <c r="M692" s="281">
        <v>9</v>
      </c>
    </row>
    <row r="693" spans="1:13" ht="14.25">
      <c r="A693" s="274">
        <v>11510</v>
      </c>
      <c r="B693" s="275" t="s">
        <v>368</v>
      </c>
      <c r="C693" s="275" t="s">
        <v>168</v>
      </c>
      <c r="D693" s="275" t="s">
        <v>169</v>
      </c>
      <c r="E693" s="276">
        <v>2.25</v>
      </c>
      <c r="F693" s="276" t="s">
        <v>122</v>
      </c>
      <c r="G693" s="276">
        <v>0</v>
      </c>
      <c r="H693" s="276">
        <v>18</v>
      </c>
      <c r="I693" s="276">
        <v>14</v>
      </c>
      <c r="J693" s="276">
        <v>1</v>
      </c>
      <c r="K693" s="276">
        <v>33</v>
      </c>
      <c r="L693" s="276">
        <v>14.5</v>
      </c>
      <c r="M693" s="277">
        <v>32.63</v>
      </c>
    </row>
    <row r="694" spans="1:13" ht="14.25">
      <c r="A694" s="278">
        <v>11510</v>
      </c>
      <c r="B694" s="279" t="s">
        <v>368</v>
      </c>
      <c r="C694" s="279" t="s">
        <v>99</v>
      </c>
      <c r="D694" s="279" t="s">
        <v>100</v>
      </c>
      <c r="E694" s="280">
        <v>1.65</v>
      </c>
      <c r="F694" s="280" t="s">
        <v>119</v>
      </c>
      <c r="G694" s="280">
        <v>0</v>
      </c>
      <c r="H694" s="280">
        <v>0</v>
      </c>
      <c r="I694" s="280">
        <v>17</v>
      </c>
      <c r="J694" s="280">
        <v>0</v>
      </c>
      <c r="K694" s="280">
        <v>17</v>
      </c>
      <c r="L694" s="280">
        <v>17</v>
      </c>
      <c r="M694" s="281">
        <v>28.05</v>
      </c>
    </row>
    <row r="695" spans="1:13" ht="14.25">
      <c r="A695" s="274">
        <v>11510</v>
      </c>
      <c r="B695" s="275" t="s">
        <v>368</v>
      </c>
      <c r="C695" s="275" t="s">
        <v>99</v>
      </c>
      <c r="D695" s="275" t="s">
        <v>100</v>
      </c>
      <c r="E695" s="276">
        <v>1.65</v>
      </c>
      <c r="F695" s="276" t="s">
        <v>122</v>
      </c>
      <c r="G695" s="276">
        <v>0</v>
      </c>
      <c r="H695" s="276">
        <v>45</v>
      </c>
      <c r="I695" s="276">
        <v>75</v>
      </c>
      <c r="J695" s="276">
        <v>1</v>
      </c>
      <c r="K695" s="276">
        <v>121</v>
      </c>
      <c r="L695" s="276">
        <v>75.5</v>
      </c>
      <c r="M695" s="277">
        <v>124.58</v>
      </c>
    </row>
    <row r="696" spans="1:13" ht="9.75">
      <c r="A696" s="282">
        <v>11510</v>
      </c>
      <c r="B696" s="283" t="s">
        <v>163</v>
      </c>
      <c r="C696" s="283"/>
      <c r="D696" s="283"/>
      <c r="E696" s="283"/>
      <c r="F696" s="284" t="s">
        <v>132</v>
      </c>
      <c r="G696" s="284">
        <v>275</v>
      </c>
      <c r="H696" s="284">
        <v>12</v>
      </c>
      <c r="I696" s="284">
        <v>183</v>
      </c>
      <c r="J696" s="284">
        <v>2</v>
      </c>
      <c r="K696" s="284">
        <v>472</v>
      </c>
      <c r="L696" s="545"/>
      <c r="M696" s="546"/>
    </row>
    <row r="697" spans="1:13" ht="9.75">
      <c r="A697" s="282">
        <v>11510</v>
      </c>
      <c r="B697" s="283" t="s">
        <v>163</v>
      </c>
      <c r="C697" s="283"/>
      <c r="D697" s="283"/>
      <c r="E697" s="283"/>
      <c r="F697" s="284" t="s">
        <v>109</v>
      </c>
      <c r="G697" s="284">
        <v>0</v>
      </c>
      <c r="H697" s="284">
        <v>83</v>
      </c>
      <c r="I697" s="284">
        <v>625</v>
      </c>
      <c r="J697" s="284">
        <v>14</v>
      </c>
      <c r="K697" s="284">
        <v>722</v>
      </c>
      <c r="L697" s="545"/>
      <c r="M697" s="546"/>
    </row>
    <row r="698" spans="1:13" ht="9.75">
      <c r="A698" s="282">
        <v>11510</v>
      </c>
      <c r="B698" s="283" t="s">
        <v>163</v>
      </c>
      <c r="C698" s="283"/>
      <c r="D698" s="283"/>
      <c r="E698" s="283"/>
      <c r="F698" s="284" t="s">
        <v>110</v>
      </c>
      <c r="G698" s="284">
        <v>0</v>
      </c>
      <c r="H698" s="284">
        <v>0</v>
      </c>
      <c r="I698" s="284">
        <v>0</v>
      </c>
      <c r="J698" s="284">
        <v>0</v>
      </c>
      <c r="K698" s="284">
        <v>0</v>
      </c>
      <c r="L698" s="545"/>
      <c r="M698" s="546"/>
    </row>
    <row r="699" spans="1:13" ht="9.75">
      <c r="A699" s="282">
        <v>11510</v>
      </c>
      <c r="B699" s="283" t="s">
        <v>163</v>
      </c>
      <c r="C699" s="283"/>
      <c r="D699" s="283"/>
      <c r="E699" s="283"/>
      <c r="F699" s="284" t="s">
        <v>113</v>
      </c>
      <c r="G699" s="284">
        <v>0</v>
      </c>
      <c r="H699" s="284">
        <v>0</v>
      </c>
      <c r="I699" s="284">
        <v>0</v>
      </c>
      <c r="J699" s="284">
        <v>0</v>
      </c>
      <c r="K699" s="284">
        <v>0</v>
      </c>
      <c r="L699" s="545"/>
      <c r="M699" s="546"/>
    </row>
    <row r="700" spans="1:13" ht="9.75">
      <c r="A700" s="282">
        <v>11510</v>
      </c>
      <c r="B700" s="283" t="s">
        <v>163</v>
      </c>
      <c r="C700" s="283"/>
      <c r="D700" s="283"/>
      <c r="E700" s="283"/>
      <c r="F700" s="284" t="s">
        <v>116</v>
      </c>
      <c r="G700" s="284">
        <v>0</v>
      </c>
      <c r="H700" s="284">
        <v>4</v>
      </c>
      <c r="I700" s="284">
        <v>310</v>
      </c>
      <c r="J700" s="284">
        <v>2</v>
      </c>
      <c r="K700" s="284">
        <v>316</v>
      </c>
      <c r="L700" s="545"/>
      <c r="M700" s="546"/>
    </row>
    <row r="701" spans="1:13" ht="9.75">
      <c r="A701" s="282">
        <v>11510</v>
      </c>
      <c r="B701" s="283" t="s">
        <v>163</v>
      </c>
      <c r="C701" s="283"/>
      <c r="D701" s="283"/>
      <c r="E701" s="283"/>
      <c r="F701" s="284" t="s">
        <v>114</v>
      </c>
      <c r="G701" s="284">
        <v>0</v>
      </c>
      <c r="H701" s="284">
        <v>29</v>
      </c>
      <c r="I701" s="284">
        <v>288</v>
      </c>
      <c r="J701" s="284">
        <v>4</v>
      </c>
      <c r="K701" s="284">
        <v>321</v>
      </c>
      <c r="L701" s="545"/>
      <c r="M701" s="546"/>
    </row>
    <row r="702" spans="1:13" ht="9.75">
      <c r="A702" s="282">
        <v>11510</v>
      </c>
      <c r="B702" s="283" t="s">
        <v>163</v>
      </c>
      <c r="C702" s="283"/>
      <c r="D702" s="283"/>
      <c r="E702" s="283"/>
      <c r="F702" s="284" t="s">
        <v>119</v>
      </c>
      <c r="G702" s="284">
        <v>0</v>
      </c>
      <c r="H702" s="284">
        <v>0</v>
      </c>
      <c r="I702" s="284">
        <v>21</v>
      </c>
      <c r="J702" s="284">
        <v>0</v>
      </c>
      <c r="K702" s="284">
        <v>21</v>
      </c>
      <c r="L702" s="545"/>
      <c r="M702" s="546"/>
    </row>
    <row r="703" spans="1:13" ht="9.75">
      <c r="A703" s="282">
        <v>11510</v>
      </c>
      <c r="B703" s="283" t="s">
        <v>163</v>
      </c>
      <c r="C703" s="283"/>
      <c r="D703" s="283"/>
      <c r="E703" s="283"/>
      <c r="F703" s="284" t="s">
        <v>122</v>
      </c>
      <c r="G703" s="284">
        <v>0</v>
      </c>
      <c r="H703" s="284">
        <v>63</v>
      </c>
      <c r="I703" s="284">
        <v>89</v>
      </c>
      <c r="J703" s="284">
        <v>2</v>
      </c>
      <c r="K703" s="284">
        <v>154</v>
      </c>
      <c r="L703" s="545"/>
      <c r="M703" s="546"/>
    </row>
    <row r="704" spans="1:13" ht="14.25">
      <c r="A704" s="285">
        <v>1100</v>
      </c>
      <c r="B704" s="286" t="s">
        <v>370</v>
      </c>
      <c r="C704" s="286"/>
      <c r="D704" s="286"/>
      <c r="E704" s="286"/>
      <c r="F704" s="287" t="s">
        <v>132</v>
      </c>
      <c r="G704" s="287">
        <v>3948</v>
      </c>
      <c r="H704" s="287">
        <v>296</v>
      </c>
      <c r="I704" s="287">
        <v>2320</v>
      </c>
      <c r="J704" s="287">
        <v>59</v>
      </c>
      <c r="K704" s="287">
        <v>6623</v>
      </c>
      <c r="L704" s="287">
        <v>6297.5</v>
      </c>
      <c r="M704" s="288">
        <v>9343.29</v>
      </c>
    </row>
    <row r="705" spans="1:13" ht="14.25">
      <c r="A705" s="285">
        <v>1100</v>
      </c>
      <c r="B705" s="286" t="s">
        <v>370</v>
      </c>
      <c r="C705" s="286"/>
      <c r="D705" s="286"/>
      <c r="E705" s="286"/>
      <c r="F705" s="287" t="s">
        <v>109</v>
      </c>
      <c r="G705" s="287">
        <v>0</v>
      </c>
      <c r="H705" s="287">
        <v>1806</v>
      </c>
      <c r="I705" s="287">
        <v>8718</v>
      </c>
      <c r="J705" s="287">
        <v>208</v>
      </c>
      <c r="K705" s="287">
        <v>10732</v>
      </c>
      <c r="L705" s="287">
        <v>8822</v>
      </c>
      <c r="M705" s="288">
        <v>13228.27</v>
      </c>
    </row>
    <row r="706" spans="1:13" ht="14.25">
      <c r="A706" s="285">
        <v>1100</v>
      </c>
      <c r="B706" s="286" t="s">
        <v>370</v>
      </c>
      <c r="C706" s="286"/>
      <c r="D706" s="286"/>
      <c r="E706" s="286"/>
      <c r="F706" s="287" t="s">
        <v>110</v>
      </c>
      <c r="G706" s="287">
        <v>1761</v>
      </c>
      <c r="H706" s="287">
        <v>32</v>
      </c>
      <c r="I706" s="287">
        <v>617</v>
      </c>
      <c r="J706" s="287">
        <v>7</v>
      </c>
      <c r="K706" s="287">
        <v>2417</v>
      </c>
      <c r="L706" s="287">
        <v>2381.5</v>
      </c>
      <c r="M706" s="288">
        <v>5225.28</v>
      </c>
    </row>
    <row r="707" spans="1:13" ht="14.25">
      <c r="A707" s="285">
        <v>1100</v>
      </c>
      <c r="B707" s="286" t="s">
        <v>370</v>
      </c>
      <c r="C707" s="286"/>
      <c r="D707" s="286"/>
      <c r="E707" s="286"/>
      <c r="F707" s="287" t="s">
        <v>113</v>
      </c>
      <c r="G707" s="287">
        <v>0</v>
      </c>
      <c r="H707" s="287">
        <v>925</v>
      </c>
      <c r="I707" s="287">
        <v>9034</v>
      </c>
      <c r="J707" s="287">
        <v>106</v>
      </c>
      <c r="K707" s="287">
        <v>10065</v>
      </c>
      <c r="L707" s="287">
        <v>9087</v>
      </c>
      <c r="M707" s="288">
        <v>20158.78</v>
      </c>
    </row>
    <row r="708" spans="1:13" ht="14.25">
      <c r="A708" s="285">
        <v>1100</v>
      </c>
      <c r="B708" s="286" t="s">
        <v>370</v>
      </c>
      <c r="C708" s="286"/>
      <c r="D708" s="286"/>
      <c r="E708" s="286"/>
      <c r="F708" s="287" t="s">
        <v>116</v>
      </c>
      <c r="G708" s="287">
        <v>0</v>
      </c>
      <c r="H708" s="287">
        <v>67</v>
      </c>
      <c r="I708" s="287">
        <v>3141</v>
      </c>
      <c r="J708" s="287">
        <v>23</v>
      </c>
      <c r="K708" s="287">
        <v>3231</v>
      </c>
      <c r="L708" s="287">
        <v>3152.5</v>
      </c>
      <c r="M708" s="288">
        <v>4595.31</v>
      </c>
    </row>
    <row r="709" spans="1:13" ht="14.25">
      <c r="A709" s="285">
        <v>1100</v>
      </c>
      <c r="B709" s="286" t="s">
        <v>370</v>
      </c>
      <c r="C709" s="286"/>
      <c r="D709" s="286"/>
      <c r="E709" s="286"/>
      <c r="F709" s="287" t="s">
        <v>114</v>
      </c>
      <c r="G709" s="287">
        <v>0</v>
      </c>
      <c r="H709" s="287">
        <v>909</v>
      </c>
      <c r="I709" s="287">
        <v>4290</v>
      </c>
      <c r="J709" s="287">
        <v>62</v>
      </c>
      <c r="K709" s="287">
        <v>5261</v>
      </c>
      <c r="L709" s="287">
        <v>4321</v>
      </c>
      <c r="M709" s="288">
        <v>6158.71</v>
      </c>
    </row>
    <row r="710" spans="1:13" ht="14.25">
      <c r="A710" s="285">
        <v>1100</v>
      </c>
      <c r="B710" s="286" t="s">
        <v>370</v>
      </c>
      <c r="C710" s="286"/>
      <c r="D710" s="286"/>
      <c r="E710" s="286"/>
      <c r="F710" s="287" t="s">
        <v>119</v>
      </c>
      <c r="G710" s="287">
        <v>0</v>
      </c>
      <c r="H710" s="287">
        <v>64</v>
      </c>
      <c r="I710" s="287">
        <v>1146</v>
      </c>
      <c r="J710" s="287">
        <v>2</v>
      </c>
      <c r="K710" s="287">
        <v>1212</v>
      </c>
      <c r="L710" s="287">
        <v>1147</v>
      </c>
      <c r="M710" s="288">
        <v>2108.18</v>
      </c>
    </row>
    <row r="711" spans="1:13" ht="15" thickBot="1">
      <c r="A711" s="541">
        <v>1100</v>
      </c>
      <c r="B711" s="542" t="s">
        <v>370</v>
      </c>
      <c r="C711" s="542"/>
      <c r="D711" s="542"/>
      <c r="E711" s="542"/>
      <c r="F711" s="543" t="s">
        <v>122</v>
      </c>
      <c r="G711" s="543">
        <v>0</v>
      </c>
      <c r="H711" s="543">
        <v>2340</v>
      </c>
      <c r="I711" s="543">
        <v>3506</v>
      </c>
      <c r="J711" s="543">
        <v>44</v>
      </c>
      <c r="K711" s="543">
        <v>5890</v>
      </c>
      <c r="L711" s="543">
        <v>3528</v>
      </c>
      <c r="M711" s="544">
        <v>6665.83</v>
      </c>
    </row>
    <row r="712" spans="6:13" ht="9.75">
      <c r="F712" s="99"/>
      <c r="H712" t="s">
        <v>703</v>
      </c>
      <c r="L712" s="8">
        <f>SUM(L704:L711)</f>
        <v>38736.5</v>
      </c>
      <c r="M712" s="8">
        <f>SUM(M704:M711)</f>
        <v>67483.65</v>
      </c>
    </row>
    <row r="713" spans="6:13" ht="9.75">
      <c r="F713" s="99"/>
      <c r="J713" t="s">
        <v>700</v>
      </c>
      <c r="L713" s="8"/>
      <c r="M713" s="8">
        <f>M712/L712</f>
        <v>1.7421204806835928</v>
      </c>
    </row>
    <row r="714" spans="6:13" ht="9.75">
      <c r="F714" s="99"/>
      <c r="J714" t="s">
        <v>701</v>
      </c>
      <c r="L714" s="8"/>
      <c r="M714" s="604">
        <f>Bilance!C80/M712</f>
        <v>45567.201691831586</v>
      </c>
    </row>
    <row r="715" spans="6:8" ht="9.75">
      <c r="F715" s="99"/>
      <c r="H715" t="s">
        <v>704</v>
      </c>
    </row>
    <row r="716" spans="6:10" ht="9.75">
      <c r="F716" s="99"/>
      <c r="J716" t="s">
        <v>702</v>
      </c>
    </row>
    <row r="717" spans="6:13" ht="9.75">
      <c r="F717" s="99"/>
      <c r="H717" t="s">
        <v>705</v>
      </c>
      <c r="M717" s="604">
        <f>Bilance!C82/M712</f>
        <v>34175.40127127089</v>
      </c>
    </row>
    <row r="718" ht="9.75">
      <c r="F718" s="99"/>
    </row>
    <row r="719" ht="9.75">
      <c r="F719" s="99"/>
    </row>
    <row r="720" ht="9.75">
      <c r="F720" s="99"/>
    </row>
    <row r="721" ht="9.75">
      <c r="F721" s="99"/>
    </row>
    <row r="722" ht="9.75">
      <c r="F722" s="99"/>
    </row>
    <row r="723" ht="9.75">
      <c r="F723" s="99"/>
    </row>
    <row r="724" ht="9.75">
      <c r="F724" s="99"/>
    </row>
    <row r="725" ht="9.75">
      <c r="F725" s="99"/>
    </row>
    <row r="726" ht="9.75">
      <c r="F726" s="99"/>
    </row>
    <row r="727" ht="9.75">
      <c r="F727" s="99"/>
    </row>
    <row r="728" ht="9.75">
      <c r="F728" s="99"/>
    </row>
    <row r="729" ht="9.75">
      <c r="F729" s="99"/>
    </row>
    <row r="730" ht="9.75">
      <c r="F730" s="99"/>
    </row>
    <row r="731" ht="9.75">
      <c r="F731" s="99"/>
    </row>
    <row r="732" ht="9.75">
      <c r="F732" s="99"/>
    </row>
    <row r="733" ht="9.75">
      <c r="F733" s="99"/>
    </row>
    <row r="734" ht="9.75">
      <c r="F734" s="99"/>
    </row>
    <row r="735" ht="9.75">
      <c r="F735" s="99"/>
    </row>
    <row r="736" ht="9.75">
      <c r="F736" s="99"/>
    </row>
    <row r="737" ht="9.75">
      <c r="F737" s="99"/>
    </row>
    <row r="738" ht="9.75">
      <c r="F738" s="99"/>
    </row>
    <row r="739" ht="9.75">
      <c r="F739" s="99"/>
    </row>
    <row r="740" ht="9.75">
      <c r="F740" s="99"/>
    </row>
    <row r="741" ht="9.75">
      <c r="F741" s="99"/>
    </row>
    <row r="742" ht="9.75">
      <c r="F742" s="99"/>
    </row>
    <row r="743" ht="9.75">
      <c r="F743" s="99"/>
    </row>
    <row r="744" ht="9.75">
      <c r="F744" s="99"/>
    </row>
    <row r="745" ht="9.75">
      <c r="F745" s="99"/>
    </row>
    <row r="746" ht="9.75">
      <c r="F746" s="99"/>
    </row>
    <row r="747" ht="9.75">
      <c r="F747" s="99"/>
    </row>
    <row r="748" ht="9.75">
      <c r="F748" s="99"/>
    </row>
    <row r="749" ht="9.75">
      <c r="F749" s="99"/>
    </row>
    <row r="750" ht="9.75">
      <c r="F750" s="99"/>
    </row>
    <row r="751" ht="9.75">
      <c r="F751" s="99"/>
    </row>
    <row r="752" ht="9.75">
      <c r="F752" s="99"/>
    </row>
    <row r="753" ht="9.75">
      <c r="F753" s="99"/>
    </row>
    <row r="754" ht="9.75">
      <c r="F754" s="99"/>
    </row>
    <row r="755" ht="9.75">
      <c r="F755" s="99"/>
    </row>
    <row r="756" ht="9.75">
      <c r="F756" s="99"/>
    </row>
    <row r="757" ht="9.75">
      <c r="F757" s="99"/>
    </row>
    <row r="758" ht="9.75">
      <c r="F758" s="99"/>
    </row>
    <row r="759" ht="9.75">
      <c r="F759" s="99"/>
    </row>
    <row r="760" ht="9.75">
      <c r="F760" s="99"/>
    </row>
    <row r="761" ht="9.75">
      <c r="F761" s="99"/>
    </row>
    <row r="762" ht="9.75">
      <c r="F762" s="99"/>
    </row>
    <row r="763" ht="9.75">
      <c r="F763" s="99"/>
    </row>
    <row r="764" ht="9.75">
      <c r="F764" s="99"/>
    </row>
    <row r="765" ht="9.75">
      <c r="F765" s="99"/>
    </row>
    <row r="766" ht="9.75">
      <c r="F766" s="99"/>
    </row>
    <row r="767" ht="9.75">
      <c r="F767" s="99"/>
    </row>
    <row r="768" ht="9.75">
      <c r="F768" s="99"/>
    </row>
    <row r="769" ht="9.75">
      <c r="F769" s="99"/>
    </row>
    <row r="770" ht="9.75">
      <c r="F770" s="99"/>
    </row>
    <row r="771" ht="9.75">
      <c r="F771" s="99"/>
    </row>
    <row r="772" ht="9.75">
      <c r="F772" s="99"/>
    </row>
    <row r="773" ht="9.75">
      <c r="F773" s="99"/>
    </row>
    <row r="774" ht="9.75">
      <c r="F774" s="99"/>
    </row>
    <row r="775" ht="9.75">
      <c r="F775" s="99"/>
    </row>
    <row r="776" ht="9.75">
      <c r="F776" s="99"/>
    </row>
    <row r="777" ht="9.75">
      <c r="F777" s="99"/>
    </row>
    <row r="778" ht="9.75">
      <c r="F778" s="99"/>
    </row>
    <row r="779" ht="9.75">
      <c r="F779" s="99"/>
    </row>
    <row r="780" ht="9.75">
      <c r="F780" s="99"/>
    </row>
    <row r="781" ht="9.75">
      <c r="F781" s="99"/>
    </row>
    <row r="782" ht="9.75">
      <c r="F782" s="99"/>
    </row>
    <row r="783" ht="9.75">
      <c r="F783" s="99"/>
    </row>
    <row r="784" ht="9.75">
      <c r="F784" s="99"/>
    </row>
    <row r="785" ht="9.75">
      <c r="F785" s="99"/>
    </row>
    <row r="786" ht="9.75">
      <c r="F786" s="99"/>
    </row>
    <row r="787" ht="9.75">
      <c r="F787" s="99"/>
    </row>
    <row r="788" ht="9.75">
      <c r="F788" s="99"/>
    </row>
    <row r="789" ht="9.75">
      <c r="F789" s="99"/>
    </row>
    <row r="790" ht="9.75">
      <c r="F790" s="99"/>
    </row>
    <row r="791" ht="9.75">
      <c r="F791" s="99"/>
    </row>
    <row r="792" ht="9.75">
      <c r="F792" s="99"/>
    </row>
    <row r="793" ht="9.75">
      <c r="F793" s="99"/>
    </row>
    <row r="794" ht="9.75">
      <c r="F794" s="99"/>
    </row>
    <row r="795" ht="9.75">
      <c r="F795" s="99"/>
    </row>
    <row r="796" ht="9.75">
      <c r="F796" s="99"/>
    </row>
    <row r="797" ht="9.75">
      <c r="F797" s="99"/>
    </row>
    <row r="798" ht="9.75">
      <c r="F798" s="99"/>
    </row>
    <row r="799" ht="9.75">
      <c r="F799" s="99"/>
    </row>
    <row r="800" ht="9.75">
      <c r="F800" s="99"/>
    </row>
    <row r="801" ht="9.75">
      <c r="F801" s="99"/>
    </row>
    <row r="802" ht="9.75">
      <c r="F802" s="99"/>
    </row>
    <row r="803" ht="9.75">
      <c r="F803" s="99"/>
    </row>
    <row r="804" ht="9.75">
      <c r="F804" s="99"/>
    </row>
    <row r="805" ht="9.75">
      <c r="F805" s="99"/>
    </row>
    <row r="806" ht="9.75">
      <c r="F806" s="99"/>
    </row>
    <row r="807" ht="9.75">
      <c r="F807" s="99"/>
    </row>
    <row r="808" ht="9.75">
      <c r="F808" s="99"/>
    </row>
    <row r="809" ht="9.75">
      <c r="F809" s="99"/>
    </row>
    <row r="810" ht="9.75">
      <c r="F810" s="99"/>
    </row>
    <row r="811" ht="9.75">
      <c r="F811" s="99"/>
    </row>
    <row r="812" ht="9.75">
      <c r="F812" s="99"/>
    </row>
    <row r="813" ht="9.75">
      <c r="F813" s="99"/>
    </row>
    <row r="814" ht="9.75">
      <c r="F814" s="99"/>
    </row>
    <row r="815" ht="9.75">
      <c r="F815" s="99"/>
    </row>
    <row r="816" ht="9.75">
      <c r="F816" s="99"/>
    </row>
    <row r="817" ht="9.75">
      <c r="F817" s="99"/>
    </row>
    <row r="818" ht="9.75">
      <c r="F818" s="99"/>
    </row>
    <row r="819" ht="9.75">
      <c r="F819" s="99"/>
    </row>
    <row r="820" ht="9.75">
      <c r="F820" s="99"/>
    </row>
    <row r="821" ht="9.75">
      <c r="F821" s="99"/>
    </row>
    <row r="822" ht="9.75">
      <c r="F822" s="99"/>
    </row>
    <row r="823" ht="9.75">
      <c r="F823" s="99"/>
    </row>
    <row r="824" ht="9.75">
      <c r="F824" s="99"/>
    </row>
    <row r="825" ht="9.75">
      <c r="F825" s="99"/>
    </row>
    <row r="826" ht="9.75">
      <c r="F826" s="99"/>
    </row>
    <row r="827" ht="9.75">
      <c r="F827" s="99"/>
    </row>
    <row r="828" ht="9.75">
      <c r="F828" s="99"/>
    </row>
    <row r="829" ht="9.75">
      <c r="F829" s="99"/>
    </row>
    <row r="830" ht="9.75">
      <c r="F830" s="99"/>
    </row>
    <row r="831" ht="9.75">
      <c r="F831" s="99"/>
    </row>
    <row r="832" ht="9.75">
      <c r="F832" s="99"/>
    </row>
    <row r="833" ht="9.75">
      <c r="F833" s="99"/>
    </row>
    <row r="834" ht="9.75">
      <c r="F834" s="99"/>
    </row>
    <row r="835" ht="9.75">
      <c r="F835" s="99"/>
    </row>
    <row r="836" ht="9.75">
      <c r="F836" s="99"/>
    </row>
    <row r="837" ht="9.75">
      <c r="F837" s="99"/>
    </row>
    <row r="838" ht="9.75">
      <c r="F838" s="99"/>
    </row>
    <row r="839" ht="9.75">
      <c r="F839" s="99"/>
    </row>
    <row r="840" ht="9.75">
      <c r="F840" s="99"/>
    </row>
    <row r="841" ht="9.75">
      <c r="F841" s="99"/>
    </row>
    <row r="842" ht="9.75">
      <c r="F842" s="99"/>
    </row>
    <row r="843" ht="9.75">
      <c r="F843" s="99"/>
    </row>
    <row r="844" ht="9.75">
      <c r="F844" s="99"/>
    </row>
    <row r="845" ht="9.75">
      <c r="F845" s="99"/>
    </row>
    <row r="846" ht="9.75">
      <c r="F846" s="99"/>
    </row>
    <row r="847" ht="9.75">
      <c r="F847" s="99"/>
    </row>
    <row r="848" ht="9.75">
      <c r="F848" s="99"/>
    </row>
    <row r="849" ht="9.75">
      <c r="F849" s="99"/>
    </row>
    <row r="850" ht="9.75">
      <c r="F850" s="99"/>
    </row>
    <row r="851" ht="9.75">
      <c r="F851" s="99"/>
    </row>
    <row r="852" ht="9.75">
      <c r="F852" s="99"/>
    </row>
    <row r="853" ht="9.75">
      <c r="F853" s="99"/>
    </row>
    <row r="854" ht="9.75">
      <c r="F854" s="99"/>
    </row>
    <row r="855" ht="9.75">
      <c r="F855" s="99"/>
    </row>
    <row r="856" ht="9.75">
      <c r="F856" s="99"/>
    </row>
    <row r="857" ht="9.75">
      <c r="F857" s="99"/>
    </row>
    <row r="858" ht="9.75">
      <c r="F858" s="99"/>
    </row>
    <row r="859" ht="9.75">
      <c r="F859" s="99"/>
    </row>
    <row r="860" ht="9.75">
      <c r="F860" s="99"/>
    </row>
    <row r="861" ht="9.75">
      <c r="F861" s="99"/>
    </row>
    <row r="862" ht="9.75">
      <c r="F862" s="99"/>
    </row>
    <row r="863" ht="9.75">
      <c r="F863" s="99"/>
    </row>
    <row r="864" ht="9.75">
      <c r="F864" s="99"/>
    </row>
    <row r="865" ht="9.75">
      <c r="F865" s="99"/>
    </row>
    <row r="866" ht="9.75">
      <c r="F866" s="99"/>
    </row>
    <row r="867" ht="9.75">
      <c r="F867" s="99"/>
    </row>
    <row r="868" ht="9.75">
      <c r="F868" s="99"/>
    </row>
    <row r="869" ht="9.75">
      <c r="F869" s="99"/>
    </row>
    <row r="870" ht="9.75">
      <c r="F870" s="99"/>
    </row>
    <row r="871" ht="9.75">
      <c r="F871" s="99"/>
    </row>
    <row r="872" ht="9.75">
      <c r="F872" s="99"/>
    </row>
    <row r="873" ht="9.75">
      <c r="F873" s="99"/>
    </row>
    <row r="874" ht="9.75">
      <c r="F874" s="99"/>
    </row>
    <row r="875" ht="9.75">
      <c r="F875" s="99"/>
    </row>
    <row r="876" ht="9.75">
      <c r="F876" s="99"/>
    </row>
    <row r="877" ht="9.75">
      <c r="F877" s="99"/>
    </row>
    <row r="878" ht="9.75">
      <c r="F878" s="99"/>
    </row>
    <row r="879" ht="9.75">
      <c r="F879" s="99"/>
    </row>
    <row r="880" ht="9.75">
      <c r="F880" s="99"/>
    </row>
    <row r="881" ht="9.75">
      <c r="F881" s="99"/>
    </row>
    <row r="882" ht="9.75">
      <c r="F882" s="99"/>
    </row>
    <row r="883" ht="9.75">
      <c r="F883" s="99"/>
    </row>
    <row r="884" ht="9.75">
      <c r="F884" s="99"/>
    </row>
    <row r="885" ht="9.75">
      <c r="F885" s="99"/>
    </row>
    <row r="886" ht="9.75">
      <c r="F886" s="99"/>
    </row>
    <row r="887" ht="9.75">
      <c r="F887" s="99"/>
    </row>
    <row r="888" ht="9.75">
      <c r="F888" s="99"/>
    </row>
    <row r="889" ht="9.75">
      <c r="F889" s="99"/>
    </row>
    <row r="890" ht="9.75">
      <c r="F890" s="99"/>
    </row>
    <row r="891" ht="9.75">
      <c r="F891" s="99"/>
    </row>
    <row r="892" ht="9.75">
      <c r="F892" s="99"/>
    </row>
    <row r="893" ht="9.75">
      <c r="F893" s="99"/>
    </row>
    <row r="894" ht="9.75">
      <c r="F894" s="99"/>
    </row>
    <row r="895" ht="9.75">
      <c r="F895" s="99"/>
    </row>
    <row r="896" ht="9.75">
      <c r="F896" s="99"/>
    </row>
    <row r="897" ht="9.75">
      <c r="F897" s="99"/>
    </row>
    <row r="898" ht="9.75">
      <c r="F898" s="99"/>
    </row>
    <row r="899" ht="9.75">
      <c r="F899" s="99"/>
    </row>
    <row r="900" ht="9.75">
      <c r="F900" s="99"/>
    </row>
    <row r="901" ht="9.75">
      <c r="F901" s="99"/>
    </row>
    <row r="902" ht="9.75">
      <c r="F902" s="99"/>
    </row>
    <row r="903" ht="9.75">
      <c r="F903" s="99"/>
    </row>
    <row r="904" ht="9.75">
      <c r="F904" s="99"/>
    </row>
    <row r="905" ht="9.75">
      <c r="F905" s="99"/>
    </row>
    <row r="906" ht="9.75">
      <c r="F906" s="99"/>
    </row>
    <row r="907" ht="9.75">
      <c r="F907" s="99"/>
    </row>
    <row r="908" ht="9.75">
      <c r="F908" s="99"/>
    </row>
    <row r="909" ht="9.75">
      <c r="F909" s="99"/>
    </row>
    <row r="910" ht="9.75">
      <c r="F910" s="99"/>
    </row>
    <row r="911" ht="9.75">
      <c r="F911" s="99"/>
    </row>
    <row r="912" ht="9.75">
      <c r="F912" s="99"/>
    </row>
    <row r="913" ht="9.75">
      <c r="F913" s="99"/>
    </row>
    <row r="914" ht="9.75">
      <c r="F914" s="99"/>
    </row>
    <row r="915" ht="9.75">
      <c r="F915" s="99"/>
    </row>
    <row r="916" ht="9.75">
      <c r="F916" s="99"/>
    </row>
    <row r="917" ht="9.75">
      <c r="F917" s="99"/>
    </row>
    <row r="918" ht="9.75">
      <c r="F918" s="99"/>
    </row>
    <row r="919" ht="9.75">
      <c r="F919" s="99"/>
    </row>
    <row r="920" ht="9.75">
      <c r="F920" s="99"/>
    </row>
    <row r="921" ht="9.75">
      <c r="F921" s="99"/>
    </row>
    <row r="922" ht="9.75">
      <c r="F922" s="99"/>
    </row>
    <row r="923" ht="9.75">
      <c r="F923" s="99"/>
    </row>
    <row r="924" ht="9.75">
      <c r="F924" s="99"/>
    </row>
    <row r="925" ht="9.75">
      <c r="F925" s="99"/>
    </row>
    <row r="926" ht="9.75">
      <c r="F926" s="99"/>
    </row>
    <row r="927" ht="9.75">
      <c r="F927" s="99"/>
    </row>
    <row r="928" ht="9.75">
      <c r="F928" s="99"/>
    </row>
    <row r="929" ht="9.75">
      <c r="F929" s="99"/>
    </row>
    <row r="930" ht="9.75">
      <c r="F930" s="99"/>
    </row>
    <row r="931" ht="9.75">
      <c r="F931" s="99"/>
    </row>
    <row r="932" ht="9.75">
      <c r="F932" s="99"/>
    </row>
    <row r="933" ht="9.75">
      <c r="F933" s="99"/>
    </row>
    <row r="934" ht="9.75">
      <c r="F934" s="99"/>
    </row>
    <row r="935" ht="9.75">
      <c r="F935" s="99"/>
    </row>
    <row r="936" ht="9.75">
      <c r="F936" s="99"/>
    </row>
    <row r="937" ht="9.75">
      <c r="F937" s="99"/>
    </row>
    <row r="938" ht="9.75">
      <c r="F938" s="99"/>
    </row>
    <row r="939" ht="9.75">
      <c r="F939" s="99"/>
    </row>
    <row r="940" ht="9.75">
      <c r="F940" s="99"/>
    </row>
    <row r="941" ht="9.75">
      <c r="F941" s="99"/>
    </row>
    <row r="942" ht="9.75">
      <c r="F942" s="99"/>
    </row>
    <row r="943" ht="9.75">
      <c r="F943" s="99"/>
    </row>
    <row r="944" ht="9.75">
      <c r="F944" s="99"/>
    </row>
    <row r="945" ht="9.75">
      <c r="F945" s="99"/>
    </row>
    <row r="946" ht="9.75">
      <c r="F946" s="99"/>
    </row>
    <row r="947" ht="9.75">
      <c r="F947" s="99"/>
    </row>
    <row r="948" ht="9.75">
      <c r="F948" s="99"/>
    </row>
    <row r="949" ht="9.75">
      <c r="F949" s="99"/>
    </row>
    <row r="950" ht="9.75">
      <c r="F950" s="99"/>
    </row>
    <row r="951" ht="9.75">
      <c r="F951" s="99"/>
    </row>
    <row r="952" ht="9.75">
      <c r="F952" s="99"/>
    </row>
    <row r="953" ht="9.75">
      <c r="F953" s="99"/>
    </row>
    <row r="954" ht="9.75">
      <c r="F954" s="99"/>
    </row>
    <row r="955" ht="9.75">
      <c r="F955" s="99"/>
    </row>
    <row r="956" ht="9.75">
      <c r="F956" s="99"/>
    </row>
    <row r="957" ht="9.75">
      <c r="F957" s="99"/>
    </row>
    <row r="958" ht="9.75">
      <c r="F958" s="99"/>
    </row>
    <row r="959" ht="9.75">
      <c r="F959" s="99"/>
    </row>
    <row r="960" ht="9.75">
      <c r="F960" s="99"/>
    </row>
    <row r="961" ht="9.75">
      <c r="F961" s="99"/>
    </row>
    <row r="962" ht="9.75">
      <c r="F962" s="99"/>
    </row>
    <row r="963" ht="9.75">
      <c r="F963" s="99"/>
    </row>
    <row r="964" ht="9.75">
      <c r="F964" s="99"/>
    </row>
    <row r="965" ht="9.75">
      <c r="F965" s="99"/>
    </row>
    <row r="966" ht="9.75">
      <c r="F966" s="99"/>
    </row>
    <row r="967" ht="9.75">
      <c r="F967" s="99"/>
    </row>
    <row r="968" ht="9.75">
      <c r="F968" s="99"/>
    </row>
    <row r="969" ht="9.75">
      <c r="F969" s="99"/>
    </row>
    <row r="970" ht="9.75">
      <c r="F970" s="99"/>
    </row>
    <row r="971" ht="9.75">
      <c r="F971" s="99"/>
    </row>
    <row r="972" ht="9.75">
      <c r="F972" s="99"/>
    </row>
    <row r="973" ht="9.75">
      <c r="F973" s="99"/>
    </row>
    <row r="974" ht="9.75">
      <c r="F974" s="99"/>
    </row>
    <row r="975" ht="9.75">
      <c r="F975" s="99"/>
    </row>
    <row r="976" ht="9.75">
      <c r="F976" s="99"/>
    </row>
    <row r="977" ht="9.75">
      <c r="F977" s="99"/>
    </row>
    <row r="978" ht="9.75">
      <c r="F978" s="99"/>
    </row>
    <row r="979" ht="9.75">
      <c r="F979" s="99"/>
    </row>
    <row r="980" ht="9.75">
      <c r="F980" s="99"/>
    </row>
    <row r="981" ht="9.75">
      <c r="F981" s="99"/>
    </row>
    <row r="982" ht="9.75">
      <c r="F982" s="99"/>
    </row>
    <row r="983" ht="9.75">
      <c r="F983" s="99"/>
    </row>
    <row r="984" ht="9.75">
      <c r="F984" s="99"/>
    </row>
    <row r="985" ht="9.75">
      <c r="F985" s="99"/>
    </row>
    <row r="986" ht="9.75">
      <c r="F986" s="99"/>
    </row>
    <row r="987" ht="9.75">
      <c r="F987" s="99"/>
    </row>
    <row r="988" ht="9.75">
      <c r="F988" s="99"/>
    </row>
    <row r="989" ht="9.75">
      <c r="F989" s="99"/>
    </row>
    <row r="990" ht="9.75">
      <c r="F990" s="99"/>
    </row>
    <row r="991" ht="9.75">
      <c r="F991" s="99"/>
    </row>
    <row r="992" ht="9.75">
      <c r="F992" s="99"/>
    </row>
    <row r="993" ht="9.75">
      <c r="F993" s="99"/>
    </row>
    <row r="994" ht="9.75">
      <c r="F994" s="99"/>
    </row>
    <row r="995" ht="9.75">
      <c r="F995" s="99"/>
    </row>
    <row r="996" ht="9.75">
      <c r="F996" s="99"/>
    </row>
    <row r="997" ht="9.75">
      <c r="F997" s="99"/>
    </row>
    <row r="998" ht="9.75">
      <c r="F998" s="99"/>
    </row>
    <row r="999" ht="9.75">
      <c r="F999" s="99"/>
    </row>
    <row r="1000" ht="9.75">
      <c r="F1000" s="99"/>
    </row>
    <row r="1001" ht="9.75">
      <c r="F1001" s="99"/>
    </row>
    <row r="1002" ht="9.75">
      <c r="F1002" s="99"/>
    </row>
    <row r="1003" ht="9.75">
      <c r="F1003" s="99"/>
    </row>
    <row r="1004" ht="9.75">
      <c r="F1004" s="99"/>
    </row>
    <row r="1005" ht="9.75">
      <c r="F1005" s="99"/>
    </row>
    <row r="1006" ht="9.75">
      <c r="F1006" s="99"/>
    </row>
    <row r="1007" ht="9.75">
      <c r="F1007" s="99"/>
    </row>
    <row r="1008" ht="9.75">
      <c r="F1008" s="99"/>
    </row>
    <row r="1009" ht="9.75">
      <c r="F1009" s="99"/>
    </row>
    <row r="1010" ht="9.75">
      <c r="F1010" s="99"/>
    </row>
    <row r="1011" ht="9.75">
      <c r="F1011" s="99"/>
    </row>
    <row r="1012" ht="9.75">
      <c r="F1012" s="99"/>
    </row>
    <row r="1013" ht="9.75">
      <c r="F1013" s="99"/>
    </row>
    <row r="1014" ht="9.75">
      <c r="F1014" s="99"/>
    </row>
    <row r="1015" ht="9.75">
      <c r="F1015" s="99"/>
    </row>
    <row r="1016" ht="9.75">
      <c r="F1016" s="99"/>
    </row>
    <row r="1017" ht="9.75">
      <c r="F1017" s="99"/>
    </row>
    <row r="1018" ht="9.75">
      <c r="F1018" s="99"/>
    </row>
    <row r="1019" ht="9.75">
      <c r="F1019" s="99"/>
    </row>
    <row r="1020" ht="9.75">
      <c r="F1020" s="99"/>
    </row>
    <row r="1021" ht="9.75">
      <c r="F1021" s="99"/>
    </row>
    <row r="1022" ht="9.75">
      <c r="F1022" s="99"/>
    </row>
    <row r="1023" ht="9.75">
      <c r="F1023" s="99"/>
    </row>
    <row r="1024" ht="9.75">
      <c r="F1024" s="99"/>
    </row>
    <row r="1025" ht="9.75">
      <c r="F1025" s="99"/>
    </row>
    <row r="1026" ht="9.75">
      <c r="F1026" s="99"/>
    </row>
    <row r="1027" ht="9.75">
      <c r="F1027" s="99"/>
    </row>
    <row r="1028" ht="9.75">
      <c r="F1028" s="99"/>
    </row>
    <row r="1029" ht="9.75">
      <c r="F1029" s="99"/>
    </row>
    <row r="1030" ht="9.75">
      <c r="F1030" s="99"/>
    </row>
    <row r="1031" ht="9.75">
      <c r="F1031" s="99"/>
    </row>
    <row r="1032" ht="9.75">
      <c r="F1032" s="99"/>
    </row>
    <row r="1033" ht="9.75">
      <c r="F1033" s="99"/>
    </row>
    <row r="1034" ht="9.75">
      <c r="F1034" s="99"/>
    </row>
    <row r="1035" ht="9.75">
      <c r="F1035" s="99"/>
    </row>
    <row r="1036" ht="9.75">
      <c r="F1036" s="99"/>
    </row>
    <row r="1037" ht="9.75">
      <c r="F1037" s="99"/>
    </row>
    <row r="1038" ht="9.75">
      <c r="F1038" s="99"/>
    </row>
    <row r="1039" ht="9.75">
      <c r="F1039" s="99"/>
    </row>
    <row r="1040" ht="9.75">
      <c r="F1040" s="99"/>
    </row>
    <row r="1041" ht="9.75">
      <c r="F1041" s="99"/>
    </row>
    <row r="1042" ht="9.75">
      <c r="F1042" s="99"/>
    </row>
    <row r="1043" ht="9.75">
      <c r="F1043" s="99"/>
    </row>
    <row r="1044" ht="9.75">
      <c r="F1044" s="99"/>
    </row>
    <row r="1045" ht="9.75">
      <c r="F1045" s="99"/>
    </row>
    <row r="1046" ht="9.75">
      <c r="F1046" s="99"/>
    </row>
    <row r="1047" ht="9.75">
      <c r="F1047" s="99"/>
    </row>
    <row r="1048" ht="9.75">
      <c r="F1048" s="99"/>
    </row>
    <row r="1049" ht="9.75">
      <c r="F1049" s="99"/>
    </row>
    <row r="1050" ht="9.75">
      <c r="F1050" s="99"/>
    </row>
    <row r="1051" ht="9.75">
      <c r="F1051" s="99"/>
    </row>
    <row r="1052" ht="9.75">
      <c r="F1052" s="99"/>
    </row>
    <row r="1053" ht="9.75">
      <c r="F1053" s="99"/>
    </row>
    <row r="1054" ht="9.75">
      <c r="F1054" s="99"/>
    </row>
    <row r="1055" ht="9.75">
      <c r="F1055" s="99"/>
    </row>
    <row r="1056" ht="9.75">
      <c r="F1056" s="99"/>
    </row>
    <row r="1057" ht="9.75">
      <c r="F1057" s="99"/>
    </row>
    <row r="1058" ht="9.75">
      <c r="F1058" s="99"/>
    </row>
    <row r="1059" ht="9.75">
      <c r="F1059" s="99"/>
    </row>
    <row r="1060" ht="9.75">
      <c r="F1060" s="99"/>
    </row>
    <row r="1061" ht="9.75">
      <c r="F1061" s="99"/>
    </row>
    <row r="1062" ht="9.75">
      <c r="F1062" s="99"/>
    </row>
    <row r="1063" ht="9.75">
      <c r="F1063" s="99"/>
    </row>
    <row r="1064" ht="9.75">
      <c r="F1064" s="99"/>
    </row>
    <row r="1065" ht="9.75">
      <c r="F1065" s="99"/>
    </row>
    <row r="1066" ht="9.75">
      <c r="F1066" s="99"/>
    </row>
    <row r="1067" ht="9.75">
      <c r="F1067" s="99"/>
    </row>
    <row r="1068" ht="9.75">
      <c r="F1068" s="99"/>
    </row>
    <row r="1069" ht="9.75">
      <c r="F1069" s="99"/>
    </row>
    <row r="1070" ht="9.75">
      <c r="F1070" s="99"/>
    </row>
    <row r="1071" ht="9.75">
      <c r="F1071" s="99"/>
    </row>
    <row r="1072" ht="9.75">
      <c r="F1072" s="99"/>
    </row>
    <row r="1073" ht="9.75">
      <c r="F1073" s="99"/>
    </row>
    <row r="1074" ht="9.75">
      <c r="F1074" s="99"/>
    </row>
    <row r="1075" ht="9.75">
      <c r="F1075" s="99"/>
    </row>
    <row r="1076" ht="9.75">
      <c r="F1076" s="99"/>
    </row>
    <row r="1077" ht="9.75">
      <c r="F1077" s="99"/>
    </row>
    <row r="1078" ht="9.75">
      <c r="F1078" s="99"/>
    </row>
    <row r="1079" ht="9.75">
      <c r="F1079" s="99"/>
    </row>
    <row r="1080" ht="9.75">
      <c r="F1080" s="99"/>
    </row>
    <row r="1081" ht="9.75">
      <c r="F1081" s="99"/>
    </row>
    <row r="1082" ht="9.75">
      <c r="F1082" s="99"/>
    </row>
    <row r="1083" ht="9.75">
      <c r="F1083" s="99"/>
    </row>
    <row r="1084" ht="9.75">
      <c r="F1084" s="99"/>
    </row>
    <row r="1085" ht="9.75">
      <c r="F1085" s="99"/>
    </row>
    <row r="1086" ht="9.75">
      <c r="F1086" s="99"/>
    </row>
    <row r="1087" ht="9.75">
      <c r="F1087" s="99"/>
    </row>
    <row r="1088" ht="9.75">
      <c r="F1088" s="99"/>
    </row>
    <row r="1089" ht="9.75">
      <c r="F1089" s="99"/>
    </row>
    <row r="1090" ht="9.75">
      <c r="F1090" s="99"/>
    </row>
    <row r="1091" ht="9.75">
      <c r="F1091" s="99"/>
    </row>
    <row r="1092" ht="9.75">
      <c r="F1092" s="99"/>
    </row>
    <row r="1093" ht="9.75">
      <c r="F1093" s="99"/>
    </row>
    <row r="1094" ht="9.75">
      <c r="F1094" s="99"/>
    </row>
    <row r="1095" ht="9.75">
      <c r="F1095" s="99"/>
    </row>
    <row r="1096" ht="9.75">
      <c r="F1096" s="99"/>
    </row>
    <row r="1097" ht="9.75">
      <c r="F1097" s="99"/>
    </row>
    <row r="1098" ht="9.75">
      <c r="F1098" s="99"/>
    </row>
    <row r="1099" ht="9.75">
      <c r="F1099" s="99"/>
    </row>
    <row r="1100" ht="9.75">
      <c r="F1100" s="99"/>
    </row>
    <row r="1101" ht="9.75">
      <c r="F1101" s="99"/>
    </row>
    <row r="1102" ht="9.75">
      <c r="F1102" s="99"/>
    </row>
    <row r="1103" ht="9.75">
      <c r="F1103" s="99"/>
    </row>
    <row r="1104" ht="9.75">
      <c r="F1104" s="99"/>
    </row>
    <row r="1105" ht="9.75">
      <c r="F1105" s="99"/>
    </row>
    <row r="1106" ht="9.75">
      <c r="F1106" s="99"/>
    </row>
    <row r="1107" ht="9.75">
      <c r="F1107" s="99"/>
    </row>
    <row r="1108" ht="9.75">
      <c r="F1108" s="99"/>
    </row>
    <row r="1109" ht="9.75">
      <c r="F1109" s="99"/>
    </row>
    <row r="1110" ht="9.75">
      <c r="F1110" s="99"/>
    </row>
    <row r="1111" ht="9.75">
      <c r="F1111" s="99"/>
    </row>
    <row r="1112" ht="9.75">
      <c r="F1112" s="99"/>
    </row>
    <row r="1113" ht="9.75">
      <c r="F1113" s="99"/>
    </row>
    <row r="1114" ht="9.75">
      <c r="F1114" s="99"/>
    </row>
    <row r="1115" ht="9.75">
      <c r="F1115" s="99"/>
    </row>
    <row r="1116" ht="9.75">
      <c r="F1116" s="99"/>
    </row>
    <row r="1117" ht="9.75">
      <c r="F1117" s="99"/>
    </row>
    <row r="1118" ht="9.75">
      <c r="F1118" s="99"/>
    </row>
    <row r="1119" ht="9.75">
      <c r="F1119" s="99"/>
    </row>
    <row r="1120" ht="9.75">
      <c r="F1120" s="99"/>
    </row>
    <row r="1121" ht="9.75">
      <c r="F1121" s="99"/>
    </row>
    <row r="1122" ht="9.75">
      <c r="F1122" s="99"/>
    </row>
    <row r="1123" ht="9.75">
      <c r="F1123" s="99"/>
    </row>
    <row r="1124" ht="9.75">
      <c r="F1124" s="99"/>
    </row>
    <row r="1125" ht="9.75">
      <c r="F1125" s="99"/>
    </row>
    <row r="1126" ht="9.75">
      <c r="F1126" s="99"/>
    </row>
    <row r="1127" ht="9.75">
      <c r="F1127" s="99"/>
    </row>
    <row r="1128" ht="9.75">
      <c r="F1128" s="99"/>
    </row>
    <row r="1129" ht="9.75">
      <c r="F1129" s="99"/>
    </row>
    <row r="1130" ht="9.75">
      <c r="F1130" s="99"/>
    </row>
    <row r="1131" ht="9.75">
      <c r="F1131" s="99"/>
    </row>
    <row r="1132" ht="9.75">
      <c r="F1132" s="99"/>
    </row>
    <row r="1133" ht="9.75">
      <c r="F1133" s="99"/>
    </row>
    <row r="1134" ht="9.75">
      <c r="F1134" s="99"/>
    </row>
    <row r="1135" ht="9.75">
      <c r="F1135" s="99"/>
    </row>
    <row r="1136" ht="9.75">
      <c r="F1136" s="99"/>
    </row>
    <row r="1137" ht="9.75">
      <c r="F1137" s="99"/>
    </row>
    <row r="1138" ht="9.75">
      <c r="F1138" s="99"/>
    </row>
    <row r="1139" ht="9.75">
      <c r="F1139" s="99"/>
    </row>
    <row r="1140" ht="9.75">
      <c r="F1140" s="99"/>
    </row>
    <row r="1141" ht="9.75">
      <c r="F1141" s="99"/>
    </row>
    <row r="1142" ht="9.75">
      <c r="F1142" s="99"/>
    </row>
    <row r="1143" ht="9.75">
      <c r="F1143" s="99"/>
    </row>
    <row r="1144" ht="9.75">
      <c r="F1144" s="99"/>
    </row>
    <row r="1145" ht="9.75">
      <c r="F1145" s="99"/>
    </row>
    <row r="1146" ht="9.75">
      <c r="F1146" s="99"/>
    </row>
    <row r="1147" ht="9.75">
      <c r="F1147" s="99"/>
    </row>
    <row r="1148" ht="9.75">
      <c r="F1148" s="99"/>
    </row>
    <row r="1149" ht="9.75">
      <c r="F1149" s="99"/>
    </row>
    <row r="1150" ht="9.75">
      <c r="F1150" s="99"/>
    </row>
    <row r="1151" ht="9.75">
      <c r="F1151" s="99"/>
    </row>
    <row r="1152" ht="9.75">
      <c r="F1152" s="99"/>
    </row>
    <row r="1153" ht="9.75">
      <c r="F1153" s="99"/>
    </row>
    <row r="1154" ht="9.75">
      <c r="F1154" s="99"/>
    </row>
    <row r="1155" ht="9.75">
      <c r="F1155" s="99"/>
    </row>
    <row r="1156" ht="9.75">
      <c r="F1156" s="99"/>
    </row>
    <row r="1157" ht="9.75">
      <c r="F1157" s="99"/>
    </row>
    <row r="1158" ht="9.75">
      <c r="F1158" s="99"/>
    </row>
    <row r="1159" ht="9.75">
      <c r="F1159" s="99"/>
    </row>
    <row r="1160" ht="9.75">
      <c r="F1160" s="99"/>
    </row>
    <row r="1161" ht="9.75">
      <c r="F1161" s="99"/>
    </row>
    <row r="1162" ht="9.75">
      <c r="F1162" s="99"/>
    </row>
    <row r="1163" ht="9.75">
      <c r="F1163" s="99"/>
    </row>
    <row r="1164" ht="9.75">
      <c r="F1164" s="99"/>
    </row>
    <row r="1165" ht="9.75">
      <c r="F1165" s="99"/>
    </row>
    <row r="1166" ht="9.75">
      <c r="F1166" s="99"/>
    </row>
    <row r="1167" ht="9.75">
      <c r="F1167" s="99"/>
    </row>
    <row r="1168" ht="9.75">
      <c r="F1168" s="99"/>
    </row>
    <row r="1169" ht="9.75">
      <c r="F1169" s="99"/>
    </row>
    <row r="1170" ht="9.75">
      <c r="F1170" s="99"/>
    </row>
    <row r="1171" ht="9.75">
      <c r="F1171" s="99"/>
    </row>
    <row r="1172" ht="9.75">
      <c r="F1172" s="99"/>
    </row>
    <row r="1173" ht="9.75">
      <c r="F1173" s="99"/>
    </row>
    <row r="1174" ht="9.75">
      <c r="F1174" s="99"/>
    </row>
    <row r="1175" ht="9.75">
      <c r="F1175" s="99"/>
    </row>
    <row r="1176" ht="9.75">
      <c r="F1176" s="99"/>
    </row>
    <row r="1177" ht="9.75">
      <c r="F1177" s="99"/>
    </row>
    <row r="1178" ht="9.75">
      <c r="F1178" s="99"/>
    </row>
    <row r="1179" ht="9.75">
      <c r="F1179" s="99"/>
    </row>
    <row r="1180" ht="9.75">
      <c r="F1180" s="99"/>
    </row>
    <row r="1181" ht="9.75">
      <c r="F1181" s="99"/>
    </row>
    <row r="1182" ht="9.75">
      <c r="F1182" s="99"/>
    </row>
    <row r="1183" ht="9.75">
      <c r="F1183" s="99"/>
    </row>
    <row r="1184" ht="9.75">
      <c r="F1184" s="99"/>
    </row>
    <row r="1185" ht="9.75">
      <c r="F1185" s="99"/>
    </row>
    <row r="1186" ht="9.75">
      <c r="F1186" s="99"/>
    </row>
    <row r="1187" ht="9.75">
      <c r="F1187" s="99"/>
    </row>
    <row r="1188" ht="9.75">
      <c r="F1188" s="99"/>
    </row>
    <row r="1189" ht="9.75">
      <c r="F1189" s="99"/>
    </row>
    <row r="1190" ht="9.75">
      <c r="F1190" s="99"/>
    </row>
    <row r="1191" ht="9.75">
      <c r="F1191" s="99"/>
    </row>
    <row r="1192" ht="9.75">
      <c r="F1192" s="99"/>
    </row>
    <row r="1193" ht="9.75">
      <c r="F1193" s="99"/>
    </row>
    <row r="1194" ht="9.75">
      <c r="F1194" s="99"/>
    </row>
    <row r="1195" ht="9.75">
      <c r="F1195" s="99"/>
    </row>
    <row r="1196" ht="9.75">
      <c r="F1196" s="99"/>
    </row>
    <row r="1197" ht="9.75">
      <c r="F1197" s="99"/>
    </row>
    <row r="1198" ht="9.75">
      <c r="F1198" s="99"/>
    </row>
    <row r="1199" ht="9.75">
      <c r="F1199" s="99"/>
    </row>
    <row r="1200" ht="9.75">
      <c r="F1200" s="99"/>
    </row>
    <row r="1201" ht="9.75">
      <c r="F1201" s="99"/>
    </row>
    <row r="1202" ht="9.75">
      <c r="F1202" s="99"/>
    </row>
    <row r="1203" ht="9.75">
      <c r="F1203" s="99"/>
    </row>
    <row r="1204" ht="9.75">
      <c r="F1204" s="99"/>
    </row>
    <row r="1205" ht="9.75">
      <c r="F1205" s="99"/>
    </row>
    <row r="1206" ht="9.75">
      <c r="F1206" s="99"/>
    </row>
    <row r="1207" ht="9.75">
      <c r="F1207" s="99"/>
    </row>
    <row r="1208" ht="9.75">
      <c r="F1208" s="99"/>
    </row>
    <row r="1209" ht="9.75">
      <c r="F1209" s="99"/>
    </row>
    <row r="1210" ht="9.75">
      <c r="F1210" s="99"/>
    </row>
    <row r="1211" ht="9.75">
      <c r="F1211" s="99"/>
    </row>
    <row r="1212" ht="9.75">
      <c r="F1212" s="99"/>
    </row>
    <row r="1213" ht="9.75">
      <c r="F1213" s="99"/>
    </row>
    <row r="1214" ht="9.75">
      <c r="F1214" s="99"/>
    </row>
    <row r="1215" ht="9.75">
      <c r="F1215" s="99"/>
    </row>
    <row r="1216" ht="9.75">
      <c r="F1216" s="99"/>
    </row>
    <row r="1217" ht="9.75">
      <c r="F1217" s="99"/>
    </row>
    <row r="1218" ht="9.75">
      <c r="F1218" s="99"/>
    </row>
    <row r="1219" ht="9.75">
      <c r="F1219" s="99"/>
    </row>
    <row r="1220" ht="9.75">
      <c r="F1220" s="99"/>
    </row>
    <row r="1221" ht="9.75">
      <c r="F1221" s="99"/>
    </row>
    <row r="1222" ht="9.75">
      <c r="F1222" s="99"/>
    </row>
    <row r="1223" ht="9.75">
      <c r="F1223" s="99"/>
    </row>
    <row r="1224" ht="9.75">
      <c r="F1224" s="99"/>
    </row>
    <row r="1225" ht="9.75">
      <c r="F1225" s="99"/>
    </row>
    <row r="1226" ht="9.75">
      <c r="F1226" s="99"/>
    </row>
    <row r="1227" ht="9.75">
      <c r="F1227" s="99"/>
    </row>
    <row r="1228" ht="9.75">
      <c r="F1228" s="99"/>
    </row>
    <row r="1229" ht="9.75">
      <c r="F1229" s="99"/>
    </row>
    <row r="1230" ht="9.75">
      <c r="F1230" s="99"/>
    </row>
    <row r="1231" ht="9.75">
      <c r="F1231" s="99"/>
    </row>
    <row r="1232" ht="9.75">
      <c r="F1232" s="99"/>
    </row>
    <row r="1233" ht="9.75">
      <c r="F1233" s="99"/>
    </row>
    <row r="1234" ht="9.75">
      <c r="F1234" s="99"/>
    </row>
    <row r="1235" ht="9.75">
      <c r="F1235" s="99"/>
    </row>
    <row r="1236" ht="9.75">
      <c r="F1236" s="99"/>
    </row>
    <row r="1237" ht="9.75">
      <c r="F1237" s="99"/>
    </row>
    <row r="1238" ht="9.75">
      <c r="F1238" s="99"/>
    </row>
    <row r="1239" ht="9.75">
      <c r="F1239" s="99"/>
    </row>
    <row r="1240" ht="9.75">
      <c r="F1240" s="99"/>
    </row>
    <row r="1241" ht="9.75">
      <c r="F1241" s="99"/>
    </row>
    <row r="1242" ht="9.75">
      <c r="F1242" s="99"/>
    </row>
    <row r="1243" ht="9.75">
      <c r="F1243" s="99"/>
    </row>
    <row r="1244" ht="9.75">
      <c r="F1244" s="99"/>
    </row>
    <row r="1245" ht="9.75">
      <c r="F1245" s="99"/>
    </row>
    <row r="1246" ht="9.75">
      <c r="F1246" s="99"/>
    </row>
    <row r="1247" ht="9.75">
      <c r="F1247" s="99"/>
    </row>
    <row r="1248" ht="9.75">
      <c r="F1248" s="99"/>
    </row>
    <row r="1249" ht="9.75">
      <c r="F1249" s="99"/>
    </row>
    <row r="1250" ht="9.75">
      <c r="F1250" s="99"/>
    </row>
    <row r="1251" ht="9.75">
      <c r="F1251" s="99"/>
    </row>
    <row r="1252" ht="9.75">
      <c r="F1252" s="99"/>
    </row>
    <row r="1253" ht="9.75">
      <c r="F1253" s="99"/>
    </row>
    <row r="1254" ht="9.75">
      <c r="F1254" s="99"/>
    </row>
    <row r="1255" ht="9.75">
      <c r="F1255" s="99"/>
    </row>
    <row r="1256" ht="9.75">
      <c r="F1256" s="99"/>
    </row>
    <row r="1257" ht="9.75">
      <c r="F1257" s="99"/>
    </row>
    <row r="1258" ht="9.75">
      <c r="F1258" s="99"/>
    </row>
    <row r="1259" ht="9.75">
      <c r="F1259" s="99"/>
    </row>
    <row r="1260" ht="9.75">
      <c r="F1260" s="99"/>
    </row>
    <row r="1261" ht="9.75">
      <c r="F1261" s="99"/>
    </row>
    <row r="1262" ht="9.75">
      <c r="F1262" s="99"/>
    </row>
    <row r="1263" ht="9.75">
      <c r="F1263" s="99"/>
    </row>
    <row r="1264" ht="9.75">
      <c r="F1264" s="99"/>
    </row>
    <row r="1265" ht="9.75">
      <c r="F1265" s="99"/>
    </row>
    <row r="1266" ht="9.75">
      <c r="F1266" s="99"/>
    </row>
    <row r="1267" ht="9.75">
      <c r="F1267" s="99"/>
    </row>
    <row r="1268" ht="9.75">
      <c r="F1268" s="99"/>
    </row>
    <row r="1269" ht="9.75">
      <c r="F1269" s="99"/>
    </row>
    <row r="1270" ht="9.75">
      <c r="F1270" s="99"/>
    </row>
    <row r="1271" ht="9.75">
      <c r="F1271" s="99"/>
    </row>
    <row r="1272" ht="9.75">
      <c r="F1272" s="99"/>
    </row>
    <row r="1273" ht="9.75">
      <c r="F1273" s="99"/>
    </row>
    <row r="1274" ht="9.75">
      <c r="F1274" s="99"/>
    </row>
    <row r="1275" ht="9.75">
      <c r="F1275" s="99"/>
    </row>
    <row r="1276" ht="9.75">
      <c r="F1276" s="99"/>
    </row>
    <row r="1277" ht="9.75">
      <c r="F1277" s="99"/>
    </row>
    <row r="1278" ht="9.75">
      <c r="F1278" s="99"/>
    </row>
    <row r="1279" ht="9.75">
      <c r="F1279" s="99"/>
    </row>
    <row r="1280" ht="9.75">
      <c r="F1280" s="99"/>
    </row>
    <row r="1281" ht="9.75">
      <c r="F1281" s="99"/>
    </row>
    <row r="1282" ht="9.75">
      <c r="F1282" s="99"/>
    </row>
    <row r="1283" ht="9.75">
      <c r="F1283" s="99"/>
    </row>
    <row r="1284" ht="9.75">
      <c r="F1284" s="99"/>
    </row>
    <row r="1285" ht="9.75">
      <c r="F1285" s="99"/>
    </row>
    <row r="1286" ht="9.75">
      <c r="F1286" s="99"/>
    </row>
    <row r="1287" ht="9.75">
      <c r="F1287" s="99"/>
    </row>
    <row r="1288" ht="9.75">
      <c r="F1288" s="99"/>
    </row>
    <row r="1289" ht="9.75">
      <c r="F1289" s="99"/>
    </row>
    <row r="1290" ht="9.75">
      <c r="F1290" s="99"/>
    </row>
    <row r="1291" ht="9.75">
      <c r="F1291" s="99"/>
    </row>
    <row r="1292" ht="9.75">
      <c r="F1292" s="99"/>
    </row>
    <row r="1293" ht="9.75">
      <c r="F1293" s="99"/>
    </row>
    <row r="1294" ht="9.75">
      <c r="F1294" s="99"/>
    </row>
    <row r="1295" ht="9.75">
      <c r="F1295" s="99"/>
    </row>
    <row r="1296" ht="9.75">
      <c r="F1296" s="99"/>
    </row>
    <row r="1297" ht="9.75">
      <c r="F1297" s="99"/>
    </row>
    <row r="1298" ht="9.75">
      <c r="F1298" s="99"/>
    </row>
    <row r="1299" ht="9.75">
      <c r="F1299" s="99"/>
    </row>
    <row r="1300" ht="9.75">
      <c r="F1300" s="99"/>
    </row>
    <row r="1301" ht="9.75">
      <c r="F1301" s="99"/>
    </row>
    <row r="1302" ht="9.75">
      <c r="F1302" s="99"/>
    </row>
    <row r="1303" ht="9.75">
      <c r="F1303" s="99"/>
    </row>
    <row r="1304" ht="9.75">
      <c r="F1304" s="99"/>
    </row>
    <row r="1305" ht="9.75">
      <c r="F1305" s="99"/>
    </row>
    <row r="1306" ht="9.75">
      <c r="F1306" s="99"/>
    </row>
    <row r="1307" ht="9.75">
      <c r="F1307" s="99"/>
    </row>
    <row r="1308" ht="9.75">
      <c r="F1308" s="99"/>
    </row>
    <row r="1309" ht="9.75">
      <c r="F1309" s="99"/>
    </row>
    <row r="1310" ht="9.75">
      <c r="F1310" s="99"/>
    </row>
    <row r="1311" ht="9.75">
      <c r="F1311" s="99"/>
    </row>
    <row r="1312" ht="9.75">
      <c r="F1312" s="99"/>
    </row>
    <row r="1313" ht="9.75">
      <c r="F1313" s="99"/>
    </row>
    <row r="1314" ht="9.75">
      <c r="F1314" s="99"/>
    </row>
    <row r="1315" ht="9.75">
      <c r="F1315" s="99"/>
    </row>
    <row r="1316" ht="9.75">
      <c r="F1316" s="99"/>
    </row>
    <row r="1317" ht="9.75">
      <c r="F1317" s="99"/>
    </row>
    <row r="1318" ht="9.75">
      <c r="F1318" s="99"/>
    </row>
    <row r="1319" ht="9.75">
      <c r="F1319" s="99"/>
    </row>
    <row r="1320" ht="9.75">
      <c r="F1320" s="99"/>
    </row>
    <row r="1321" ht="9.75">
      <c r="F1321" s="99"/>
    </row>
    <row r="1322" ht="9.75">
      <c r="F1322" s="99"/>
    </row>
    <row r="1323" ht="9.75">
      <c r="F1323" s="99"/>
    </row>
    <row r="1324" ht="9.75">
      <c r="F1324" s="99"/>
    </row>
    <row r="1325" ht="9.75">
      <c r="F1325" s="99"/>
    </row>
    <row r="1326" ht="9.75">
      <c r="F1326" s="99"/>
    </row>
    <row r="1327" ht="9.75">
      <c r="F1327" s="99"/>
    </row>
    <row r="1328" ht="9.75">
      <c r="F1328" s="99"/>
    </row>
    <row r="1329" ht="9.75">
      <c r="F1329" s="99"/>
    </row>
    <row r="1330" ht="9.75">
      <c r="F1330" s="99"/>
    </row>
    <row r="1331" ht="9.75">
      <c r="F1331" s="99"/>
    </row>
    <row r="1332" ht="9.75">
      <c r="F1332" s="99"/>
    </row>
    <row r="1333" ht="9.75">
      <c r="F1333" s="99"/>
    </row>
    <row r="1334" ht="9.75">
      <c r="F1334" s="99"/>
    </row>
    <row r="1335" ht="9.75">
      <c r="F1335" s="99"/>
    </row>
    <row r="1336" ht="9.75">
      <c r="F1336" s="99"/>
    </row>
    <row r="1337" ht="9.75">
      <c r="F1337" s="99"/>
    </row>
    <row r="1338" ht="9.75">
      <c r="F1338" s="99"/>
    </row>
    <row r="1339" ht="9.75">
      <c r="F1339" s="99"/>
    </row>
    <row r="1340" ht="9.75">
      <c r="F1340" s="99"/>
    </row>
    <row r="1341" ht="9.75">
      <c r="F1341" s="99"/>
    </row>
    <row r="1342" ht="9.75">
      <c r="F1342" s="99"/>
    </row>
    <row r="1343" ht="9.75">
      <c r="F1343" s="99"/>
    </row>
    <row r="1344" ht="9.75">
      <c r="F1344" s="99"/>
    </row>
    <row r="1345" ht="9.75">
      <c r="F1345" s="99"/>
    </row>
    <row r="1346" ht="9.75">
      <c r="F1346" s="99"/>
    </row>
    <row r="1347" ht="9.75">
      <c r="F1347" s="99"/>
    </row>
    <row r="1348" ht="9.75">
      <c r="F1348" s="99"/>
    </row>
    <row r="1349" ht="9.75">
      <c r="F1349" s="99"/>
    </row>
    <row r="1350" ht="9.75">
      <c r="F1350" s="99"/>
    </row>
    <row r="1351" ht="9.75">
      <c r="F1351" s="99"/>
    </row>
    <row r="1352" ht="9.75">
      <c r="F1352" s="99"/>
    </row>
    <row r="1353" ht="9.75">
      <c r="F1353" s="99"/>
    </row>
    <row r="1354" ht="9.75">
      <c r="F1354" s="99"/>
    </row>
    <row r="1355" ht="9.75">
      <c r="F1355" s="99"/>
    </row>
    <row r="1356" ht="9.75">
      <c r="F1356" s="99"/>
    </row>
    <row r="1357" ht="9.75">
      <c r="F1357" s="99"/>
    </row>
    <row r="1358" ht="9.75">
      <c r="F1358" s="99"/>
    </row>
    <row r="1359" ht="9.75">
      <c r="F1359" s="99"/>
    </row>
    <row r="1360" ht="9.75">
      <c r="F1360" s="99"/>
    </row>
    <row r="1361" ht="9.75">
      <c r="F1361" s="99"/>
    </row>
    <row r="1362" ht="9.75">
      <c r="F1362" s="99"/>
    </row>
    <row r="1363" ht="9.75">
      <c r="F1363" s="99"/>
    </row>
    <row r="1364" ht="9.75">
      <c r="F1364" s="99"/>
    </row>
    <row r="1365" ht="9.75">
      <c r="F1365" s="99"/>
    </row>
    <row r="1366" ht="9.75">
      <c r="F1366" s="99"/>
    </row>
    <row r="1367" ht="9.75">
      <c r="F1367" s="99"/>
    </row>
    <row r="1368" ht="9.75">
      <c r="F1368" s="99"/>
    </row>
    <row r="1369" ht="9.75">
      <c r="F1369" s="99"/>
    </row>
    <row r="1370" ht="9.75">
      <c r="F1370" s="99"/>
    </row>
    <row r="1371" ht="9.75">
      <c r="F1371" s="99"/>
    </row>
    <row r="1372" ht="9.75">
      <c r="F1372" s="99"/>
    </row>
    <row r="1373" ht="9.75">
      <c r="F1373" s="99"/>
    </row>
    <row r="1374" ht="9.75">
      <c r="F1374" s="99"/>
    </row>
    <row r="1375" ht="9.75">
      <c r="F1375" s="99"/>
    </row>
    <row r="1376" ht="9.75">
      <c r="F1376" s="99"/>
    </row>
    <row r="1377" ht="9.75">
      <c r="F1377" s="99"/>
    </row>
    <row r="1378" ht="9.75">
      <c r="F1378" s="99"/>
    </row>
    <row r="1379" ht="9.75">
      <c r="F1379" s="99"/>
    </row>
    <row r="1380" ht="9.75">
      <c r="F1380" s="99"/>
    </row>
    <row r="1381" ht="9.75">
      <c r="F1381" s="99"/>
    </row>
    <row r="1382" ht="9.75">
      <c r="F1382" s="99"/>
    </row>
    <row r="1383" ht="9.75">
      <c r="F1383" s="99"/>
    </row>
    <row r="1384" ht="9.75">
      <c r="F1384" s="99"/>
    </row>
    <row r="1385" ht="9.75">
      <c r="F1385" s="99"/>
    </row>
    <row r="1386" ht="9.75">
      <c r="F1386" s="99"/>
    </row>
    <row r="1387" ht="9.75">
      <c r="F1387" s="99"/>
    </row>
    <row r="1388" ht="9.75">
      <c r="F1388" s="99"/>
    </row>
    <row r="1389" ht="9.75">
      <c r="F1389" s="99"/>
    </row>
    <row r="1390" ht="9.75">
      <c r="F1390" s="99"/>
    </row>
    <row r="1391" ht="9.75">
      <c r="F1391" s="99"/>
    </row>
    <row r="1392" ht="9.75">
      <c r="F1392" s="99"/>
    </row>
    <row r="1393" ht="9.75">
      <c r="F1393" s="99"/>
    </row>
    <row r="1394" ht="9.75">
      <c r="F1394" s="99"/>
    </row>
    <row r="1395" ht="9.75">
      <c r="F1395" s="99"/>
    </row>
    <row r="1396" ht="9.75">
      <c r="F1396" s="99"/>
    </row>
    <row r="1397" ht="9.75">
      <c r="F1397" s="99"/>
    </row>
    <row r="1398" ht="9.75">
      <c r="F1398" s="99"/>
    </row>
    <row r="1399" ht="9.75">
      <c r="F1399" s="99"/>
    </row>
    <row r="1400" ht="9.75">
      <c r="F1400" s="99"/>
    </row>
    <row r="1401" ht="9.75">
      <c r="F1401" s="99"/>
    </row>
    <row r="1402" ht="9.75">
      <c r="F1402" s="99"/>
    </row>
    <row r="1403" ht="9.75">
      <c r="F1403" s="99"/>
    </row>
    <row r="1404" ht="9.75">
      <c r="F1404" s="99"/>
    </row>
    <row r="1405" ht="9.75">
      <c r="F1405" s="99"/>
    </row>
    <row r="1406" ht="9.75">
      <c r="F1406" s="99"/>
    </row>
    <row r="1407" ht="9.75">
      <c r="F1407" s="99"/>
    </row>
    <row r="1408" ht="9.75">
      <c r="F1408" s="99"/>
    </row>
    <row r="1409" ht="9.75">
      <c r="F1409" s="99"/>
    </row>
    <row r="1410" ht="9.75">
      <c r="F1410" s="99"/>
    </row>
    <row r="1411" ht="9.75">
      <c r="F1411" s="99"/>
    </row>
    <row r="1412" ht="9.75">
      <c r="F1412" s="99"/>
    </row>
    <row r="1413" ht="9.75">
      <c r="F1413" s="99"/>
    </row>
    <row r="1414" ht="9.75">
      <c r="F1414" s="99"/>
    </row>
    <row r="1415" ht="9.75">
      <c r="F1415" s="99"/>
    </row>
    <row r="1416" ht="9.75">
      <c r="F1416" s="99"/>
    </row>
    <row r="1417" ht="9.75">
      <c r="F1417" s="99"/>
    </row>
    <row r="1418" ht="9.75">
      <c r="F1418" s="99"/>
    </row>
    <row r="1419" ht="9.75">
      <c r="F1419" s="99"/>
    </row>
    <row r="1420" ht="9.75">
      <c r="F1420" s="99"/>
    </row>
    <row r="1421" ht="9.75">
      <c r="F1421" s="99"/>
    </row>
    <row r="1422" ht="9.75">
      <c r="F1422" s="99"/>
    </row>
    <row r="1423" ht="9.75">
      <c r="F1423" s="99"/>
    </row>
    <row r="1424" ht="9.75">
      <c r="F1424" s="99"/>
    </row>
    <row r="1425" ht="9.75">
      <c r="F1425" s="99"/>
    </row>
    <row r="1426" ht="9.75">
      <c r="F1426" s="99"/>
    </row>
    <row r="1427" ht="9.75">
      <c r="F1427" s="99"/>
    </row>
    <row r="1428" ht="9.75">
      <c r="F1428" s="99"/>
    </row>
    <row r="1429" ht="9.75">
      <c r="F1429" s="99"/>
    </row>
    <row r="1430" ht="9.75">
      <c r="F1430" s="99"/>
    </row>
    <row r="1431" ht="9.75">
      <c r="F1431" s="99"/>
    </row>
    <row r="1432" ht="9.75">
      <c r="F1432" s="99"/>
    </row>
    <row r="1433" ht="9.75">
      <c r="F1433" s="99"/>
    </row>
    <row r="1434" ht="9.75">
      <c r="F1434" s="99"/>
    </row>
    <row r="1435" ht="9.75">
      <c r="F1435" s="99"/>
    </row>
    <row r="1436" ht="9.75">
      <c r="F1436" s="99"/>
    </row>
    <row r="1437" ht="9.75">
      <c r="F1437" s="99"/>
    </row>
    <row r="1438" ht="9.75">
      <c r="F1438" s="99"/>
    </row>
    <row r="1439" ht="9.75">
      <c r="F1439" s="99"/>
    </row>
    <row r="1440" ht="9.75">
      <c r="F1440" s="99"/>
    </row>
    <row r="1441" ht="9.75">
      <c r="F1441" s="99"/>
    </row>
    <row r="1442" ht="9.75">
      <c r="F1442" s="99"/>
    </row>
    <row r="1443" ht="9.75">
      <c r="F1443" s="99"/>
    </row>
    <row r="1444" ht="9.75">
      <c r="F1444" s="99"/>
    </row>
    <row r="1445" ht="9.75">
      <c r="F1445" s="99"/>
    </row>
    <row r="1446" ht="9.75">
      <c r="F1446" s="99"/>
    </row>
    <row r="1447" ht="9.75">
      <c r="F1447" s="99"/>
    </row>
    <row r="1448" ht="9.75">
      <c r="F1448" s="99"/>
    </row>
    <row r="1449" ht="9.75">
      <c r="F1449" s="99"/>
    </row>
    <row r="1450" ht="9.75">
      <c r="F1450" s="99"/>
    </row>
    <row r="1451" ht="9.75">
      <c r="F1451" s="99"/>
    </row>
    <row r="1452" ht="9.75">
      <c r="F1452" s="99"/>
    </row>
    <row r="1453" ht="9.75">
      <c r="F1453" s="99"/>
    </row>
    <row r="1454" ht="9.75">
      <c r="F1454" s="99"/>
    </row>
    <row r="1455" ht="9.75">
      <c r="F1455" s="99"/>
    </row>
    <row r="1456" ht="9.75">
      <c r="F1456" s="99"/>
    </row>
    <row r="1457" ht="9.75">
      <c r="F1457" s="99"/>
    </row>
    <row r="1458" ht="9.75">
      <c r="F1458" s="99"/>
    </row>
    <row r="1459" ht="9.75">
      <c r="F1459" s="99"/>
    </row>
    <row r="1460" ht="9.75">
      <c r="F1460" s="99"/>
    </row>
    <row r="1461" ht="9.75">
      <c r="F1461" s="99"/>
    </row>
    <row r="1462" ht="9.75">
      <c r="F1462" s="99"/>
    </row>
    <row r="1463" ht="9.75">
      <c r="F1463" s="99"/>
    </row>
    <row r="1464" ht="9.75">
      <c r="F1464" s="99"/>
    </row>
    <row r="1465" ht="9.75">
      <c r="F1465" s="99"/>
    </row>
    <row r="1466" ht="9.75">
      <c r="F1466" s="99"/>
    </row>
    <row r="1467" ht="9.75">
      <c r="F1467" s="99"/>
    </row>
    <row r="1468" ht="9.75">
      <c r="F1468" s="99"/>
    </row>
    <row r="1469" ht="9.75">
      <c r="F1469" s="99"/>
    </row>
    <row r="1470" ht="9.75">
      <c r="F1470" s="99"/>
    </row>
    <row r="1471" ht="9.75">
      <c r="F1471" s="99"/>
    </row>
    <row r="1472" ht="9.75">
      <c r="F1472" s="99"/>
    </row>
    <row r="1473" ht="9.75">
      <c r="F1473" s="99"/>
    </row>
    <row r="1474" ht="9.75">
      <c r="F1474" s="99"/>
    </row>
    <row r="1475" ht="9.75">
      <c r="F1475" s="99"/>
    </row>
    <row r="1476" ht="9.75">
      <c r="F1476" s="99"/>
    </row>
    <row r="1477" ht="9.75">
      <c r="F1477" s="99"/>
    </row>
    <row r="1478" ht="9.75">
      <c r="F1478" s="99"/>
    </row>
    <row r="1479" ht="9.75">
      <c r="F1479" s="99"/>
    </row>
    <row r="1480" ht="9.75">
      <c r="F1480" s="99"/>
    </row>
    <row r="1481" ht="9.75">
      <c r="F1481" s="99"/>
    </row>
    <row r="1482" ht="9.75">
      <c r="F1482" s="99"/>
    </row>
    <row r="1483" ht="9.75">
      <c r="F1483" s="99"/>
    </row>
    <row r="1484" ht="9.75">
      <c r="F1484" s="99"/>
    </row>
    <row r="1485" ht="9.75">
      <c r="F1485" s="99"/>
    </row>
    <row r="1486" ht="9.75">
      <c r="F1486" s="99"/>
    </row>
    <row r="1487" ht="9.75">
      <c r="F1487" s="99"/>
    </row>
    <row r="1488" ht="9.75">
      <c r="F1488" s="99"/>
    </row>
    <row r="1489" ht="9.75">
      <c r="F1489" s="99"/>
    </row>
    <row r="1490" ht="9.75">
      <c r="F1490" s="99"/>
    </row>
    <row r="1491" ht="9.75">
      <c r="F1491" s="99"/>
    </row>
    <row r="1492" ht="9.75">
      <c r="F1492" s="99"/>
    </row>
    <row r="1493" ht="9.75">
      <c r="F1493" s="99"/>
    </row>
    <row r="1494" ht="9.75">
      <c r="F1494" s="99"/>
    </row>
    <row r="1495" ht="9.75">
      <c r="F1495" s="99"/>
    </row>
    <row r="1496" ht="9.75">
      <c r="F1496" s="99"/>
    </row>
    <row r="1497" ht="9.75">
      <c r="F1497" s="99"/>
    </row>
    <row r="1498" ht="9.75">
      <c r="F1498" s="99"/>
    </row>
    <row r="1499" ht="9.75">
      <c r="F1499" s="99"/>
    </row>
    <row r="1500" ht="9.75">
      <c r="F1500" s="99"/>
    </row>
    <row r="1501" ht="9.75">
      <c r="F1501" s="99"/>
    </row>
    <row r="1502" ht="9.75">
      <c r="F1502" s="99"/>
    </row>
    <row r="1503" ht="9.75">
      <c r="F1503" s="99"/>
    </row>
    <row r="1504" ht="9.75">
      <c r="F1504" s="99"/>
    </row>
    <row r="1505" ht="9.75">
      <c r="F1505" s="99"/>
    </row>
    <row r="1506" ht="9.75">
      <c r="F1506" s="99"/>
    </row>
    <row r="1507" ht="9.75">
      <c r="F1507" s="99"/>
    </row>
    <row r="1508" ht="9.75">
      <c r="F1508" s="99"/>
    </row>
    <row r="1509" ht="9.75">
      <c r="F1509" s="99"/>
    </row>
    <row r="1510" ht="9.75">
      <c r="F1510" s="99"/>
    </row>
    <row r="1511" ht="9.75">
      <c r="F1511" s="99"/>
    </row>
    <row r="1512" ht="9.75">
      <c r="F1512" s="99"/>
    </row>
    <row r="1513" ht="9.75">
      <c r="F1513" s="99"/>
    </row>
    <row r="1514" ht="9.75">
      <c r="F1514" s="99"/>
    </row>
    <row r="1515" ht="9.75">
      <c r="F1515" s="99"/>
    </row>
    <row r="1516" ht="9.75">
      <c r="F1516" s="99"/>
    </row>
    <row r="1517" ht="9.75">
      <c r="F1517" s="99"/>
    </row>
    <row r="1518" ht="9.75">
      <c r="F1518" s="99"/>
    </row>
    <row r="1519" ht="9.75">
      <c r="F1519" s="99"/>
    </row>
    <row r="1520" ht="9.75">
      <c r="F1520" s="99"/>
    </row>
    <row r="1521" ht="9.75">
      <c r="F1521" s="99"/>
    </row>
    <row r="1522" ht="9.75">
      <c r="F1522" s="99"/>
    </row>
    <row r="1523" ht="9.75">
      <c r="F1523" s="99"/>
    </row>
    <row r="1524" ht="9.75">
      <c r="F1524" s="99"/>
    </row>
    <row r="1525" ht="9.75">
      <c r="F1525" s="99"/>
    </row>
    <row r="1526" ht="9.75">
      <c r="F1526" s="99"/>
    </row>
    <row r="1527" ht="9.75">
      <c r="F1527" s="99"/>
    </row>
    <row r="1528" ht="9.75">
      <c r="F1528" s="99"/>
    </row>
    <row r="1529" ht="9.75">
      <c r="F1529" s="99"/>
    </row>
    <row r="1530" ht="9.75">
      <c r="F1530" s="99"/>
    </row>
    <row r="1531" ht="9.75">
      <c r="F1531" s="99"/>
    </row>
    <row r="1532" ht="9.75">
      <c r="F1532" s="99"/>
    </row>
    <row r="1533" ht="9.75">
      <c r="F1533" s="99"/>
    </row>
    <row r="1534" ht="9.75">
      <c r="F1534" s="99"/>
    </row>
    <row r="1535" ht="9.75">
      <c r="F1535" s="99"/>
    </row>
    <row r="1536" ht="9.75">
      <c r="F1536" s="99"/>
    </row>
    <row r="1537" ht="9.75">
      <c r="F1537" s="99"/>
    </row>
    <row r="1538" ht="9.75">
      <c r="F1538" s="99"/>
    </row>
    <row r="1539" ht="9.75">
      <c r="F1539" s="99"/>
    </row>
    <row r="1540" ht="9.75">
      <c r="F1540" s="99"/>
    </row>
    <row r="1541" ht="9.75">
      <c r="F1541" s="99"/>
    </row>
    <row r="1542" ht="9.75">
      <c r="F1542" s="99"/>
    </row>
    <row r="1543" ht="9.75">
      <c r="F1543" s="99"/>
    </row>
    <row r="1544" ht="9.75">
      <c r="F1544" s="99"/>
    </row>
    <row r="1545" ht="9.75">
      <c r="F1545" s="99"/>
    </row>
    <row r="1546" ht="9.75">
      <c r="F1546" s="99"/>
    </row>
    <row r="1547" ht="9.75">
      <c r="F1547" s="99"/>
    </row>
    <row r="1548" ht="9.75">
      <c r="F1548" s="99"/>
    </row>
    <row r="1549" ht="9.75">
      <c r="F1549" s="99"/>
    </row>
    <row r="1550" ht="9.75">
      <c r="F1550" s="99"/>
    </row>
    <row r="1551" ht="9.75">
      <c r="F1551" s="99"/>
    </row>
    <row r="1552" ht="9.75">
      <c r="F1552" s="99"/>
    </row>
    <row r="1553" ht="9.75">
      <c r="F1553" s="99"/>
    </row>
    <row r="1554" ht="9.75">
      <c r="F1554" s="99"/>
    </row>
    <row r="1555" ht="9.75">
      <c r="F1555" s="99"/>
    </row>
    <row r="1556" ht="9.75">
      <c r="F1556" s="99"/>
    </row>
    <row r="1557" ht="9.75">
      <c r="F1557" s="99"/>
    </row>
    <row r="1558" ht="9.75">
      <c r="F1558" s="99"/>
    </row>
    <row r="1559" ht="9.75">
      <c r="F1559" s="99"/>
    </row>
    <row r="1560" ht="9.75">
      <c r="F1560" s="99"/>
    </row>
    <row r="1561" ht="9.75">
      <c r="F1561" s="99"/>
    </row>
    <row r="1562" ht="9.75">
      <c r="F1562" s="99"/>
    </row>
    <row r="1563" ht="9.75">
      <c r="F1563" s="99"/>
    </row>
    <row r="1564" ht="9.75">
      <c r="F1564" s="99"/>
    </row>
    <row r="1565" ht="9.75">
      <c r="F1565" s="99"/>
    </row>
    <row r="1566" ht="9.75">
      <c r="F1566" s="99"/>
    </row>
    <row r="1567" ht="9.75">
      <c r="F1567" s="99"/>
    </row>
    <row r="1568" ht="9.75">
      <c r="F1568" s="99"/>
    </row>
    <row r="1569" ht="9.75">
      <c r="F1569" s="99"/>
    </row>
    <row r="1570" ht="9.75">
      <c r="F1570" s="99"/>
    </row>
    <row r="1571" ht="9.75">
      <c r="F1571" s="99"/>
    </row>
    <row r="1572" ht="9.75">
      <c r="F1572" s="99"/>
    </row>
    <row r="1573" ht="9.75">
      <c r="F1573" s="99"/>
    </row>
    <row r="1574" ht="9.75">
      <c r="F1574" s="99"/>
    </row>
    <row r="1575" ht="9.75">
      <c r="F1575" s="99"/>
    </row>
    <row r="1576" ht="9.75">
      <c r="F1576" s="99"/>
    </row>
    <row r="1577" ht="9.75">
      <c r="F1577" s="99"/>
    </row>
    <row r="1578" ht="9.75">
      <c r="F1578" s="99"/>
    </row>
    <row r="1579" ht="9.75">
      <c r="F1579" s="99"/>
    </row>
    <row r="1580" ht="9.75">
      <c r="F1580" s="99"/>
    </row>
    <row r="1581" ht="9.75">
      <c r="F1581" s="99"/>
    </row>
    <row r="1582" ht="9.75">
      <c r="F1582" s="99"/>
    </row>
    <row r="1583" ht="9.75">
      <c r="F1583" s="99"/>
    </row>
    <row r="1584" ht="9.75">
      <c r="F1584" s="99"/>
    </row>
    <row r="1585" ht="9.75">
      <c r="F1585" s="99"/>
    </row>
    <row r="1586" ht="9.75">
      <c r="F1586" s="99"/>
    </row>
    <row r="1587" ht="9.75">
      <c r="F1587" s="99"/>
    </row>
    <row r="1588" ht="9.75">
      <c r="F1588" s="99"/>
    </row>
    <row r="1589" ht="9.75">
      <c r="F1589" s="99"/>
    </row>
    <row r="1590" ht="9.75">
      <c r="F1590" s="99"/>
    </row>
    <row r="1591" ht="9.75">
      <c r="F1591" s="99"/>
    </row>
    <row r="1592" ht="9.75">
      <c r="F1592" s="99"/>
    </row>
    <row r="1593" ht="9.75">
      <c r="F1593" s="99"/>
    </row>
    <row r="1594" ht="9.75">
      <c r="F1594" s="99"/>
    </row>
    <row r="1595" ht="9.75">
      <c r="F1595" s="99"/>
    </row>
    <row r="1596" ht="9.75">
      <c r="F1596" s="99"/>
    </row>
    <row r="1597" ht="9.75">
      <c r="F1597" s="99"/>
    </row>
    <row r="1598" ht="9.75">
      <c r="F1598" s="99"/>
    </row>
    <row r="1599" ht="9.75">
      <c r="F1599" s="99"/>
    </row>
    <row r="1600" ht="9.75">
      <c r="F1600" s="99"/>
    </row>
    <row r="1601" ht="9.75">
      <c r="F1601" s="99"/>
    </row>
    <row r="1602" ht="9.75">
      <c r="F1602" s="99"/>
    </row>
    <row r="1603" ht="9.75">
      <c r="F1603" s="99"/>
    </row>
    <row r="1604" ht="9.75">
      <c r="F1604" s="99"/>
    </row>
    <row r="1605" ht="9.75">
      <c r="F1605" s="99"/>
    </row>
    <row r="1606" ht="9.75">
      <c r="F1606" s="99"/>
    </row>
    <row r="1607" ht="9.75">
      <c r="F1607" s="99"/>
    </row>
    <row r="1608" ht="9.75">
      <c r="F1608" s="99"/>
    </row>
    <row r="1609" ht="9.75">
      <c r="F1609" s="99"/>
    </row>
    <row r="1610" ht="9.75">
      <c r="F1610" s="99"/>
    </row>
    <row r="1611" ht="9.75">
      <c r="F1611" s="99"/>
    </row>
    <row r="1612" ht="9.75">
      <c r="F1612" s="99"/>
    </row>
    <row r="1613" ht="9.75">
      <c r="F1613" s="99"/>
    </row>
    <row r="1614" ht="9.75">
      <c r="F1614" s="99"/>
    </row>
    <row r="1615" ht="9.75">
      <c r="F1615" s="99"/>
    </row>
    <row r="1616" ht="9.75">
      <c r="F1616" s="99"/>
    </row>
    <row r="1617" ht="9.75">
      <c r="F1617" s="99"/>
    </row>
    <row r="1618" ht="9.75">
      <c r="F1618" s="99"/>
    </row>
    <row r="1619" ht="9.75">
      <c r="F1619" s="99"/>
    </row>
    <row r="1620" ht="9.75">
      <c r="F1620" s="99"/>
    </row>
    <row r="1621" ht="9.75">
      <c r="F1621" s="99"/>
    </row>
    <row r="1622" ht="9.75">
      <c r="F1622" s="99"/>
    </row>
    <row r="1623" ht="9.75">
      <c r="F1623" s="99"/>
    </row>
    <row r="1624" ht="9.75">
      <c r="F1624" s="99"/>
    </row>
    <row r="1625" ht="9.75">
      <c r="F1625" s="99"/>
    </row>
    <row r="1626" ht="9.75">
      <c r="F1626" s="99"/>
    </row>
    <row r="1627" ht="9.75">
      <c r="F1627" s="99"/>
    </row>
    <row r="1628" ht="9.75">
      <c r="F1628" s="99"/>
    </row>
    <row r="1629" ht="9.75">
      <c r="F1629" s="99"/>
    </row>
    <row r="1630" ht="9.75">
      <c r="F1630" s="99"/>
    </row>
    <row r="1631" ht="9.75">
      <c r="F1631" s="99"/>
    </row>
    <row r="1632" ht="9.75">
      <c r="F1632" s="99"/>
    </row>
    <row r="1633" ht="9.75">
      <c r="F1633" s="99"/>
    </row>
    <row r="1634" ht="9.75">
      <c r="F1634" s="99"/>
    </row>
    <row r="1635" ht="9.75">
      <c r="F1635" s="99"/>
    </row>
    <row r="1636" ht="9.75">
      <c r="F1636" s="99"/>
    </row>
    <row r="1637" ht="9.75">
      <c r="F1637" s="99"/>
    </row>
    <row r="1638" ht="9.75">
      <c r="F1638" s="99"/>
    </row>
    <row r="1639" ht="9.75">
      <c r="F1639" s="99"/>
    </row>
    <row r="1640" ht="9.75">
      <c r="F1640" s="99"/>
    </row>
    <row r="1641" ht="9.75">
      <c r="F1641" s="99"/>
    </row>
    <row r="1642" ht="9.75">
      <c r="F1642" s="99"/>
    </row>
    <row r="1643" ht="9.75">
      <c r="F1643" s="99"/>
    </row>
    <row r="1644" ht="9.75">
      <c r="F1644" s="99"/>
    </row>
    <row r="1645" ht="9.75">
      <c r="F1645" s="99"/>
    </row>
    <row r="1646" ht="9.75">
      <c r="F1646" s="99"/>
    </row>
    <row r="1647" ht="9.75">
      <c r="F1647" s="99"/>
    </row>
    <row r="1648" ht="9.75">
      <c r="F1648" s="99"/>
    </row>
    <row r="1649" ht="9.75">
      <c r="F1649" s="99"/>
    </row>
    <row r="1650" ht="9.75">
      <c r="F1650" s="99"/>
    </row>
    <row r="1651" ht="9.75">
      <c r="F1651" s="99"/>
    </row>
    <row r="1652" ht="9.75">
      <c r="F1652" s="99"/>
    </row>
    <row r="1653" ht="9.75">
      <c r="F1653" s="99"/>
    </row>
    <row r="1654" ht="9.75">
      <c r="F1654" s="99"/>
    </row>
    <row r="1655" ht="9.75">
      <c r="F1655" s="99"/>
    </row>
    <row r="1656" ht="9.75">
      <c r="F1656" s="99"/>
    </row>
    <row r="1657" ht="9.75">
      <c r="F1657" s="99"/>
    </row>
    <row r="1658" ht="9.75">
      <c r="F1658" s="99"/>
    </row>
    <row r="1659" ht="9.75">
      <c r="F1659" s="99"/>
    </row>
    <row r="1660" ht="9.75">
      <c r="F1660" s="99"/>
    </row>
    <row r="1661" ht="9.75">
      <c r="F1661" s="99"/>
    </row>
    <row r="1662" ht="9.75">
      <c r="F1662" s="99"/>
    </row>
    <row r="1663" ht="9.75">
      <c r="F1663" s="99"/>
    </row>
    <row r="1664" ht="9.75">
      <c r="F1664" s="99"/>
    </row>
    <row r="1665" ht="9.75">
      <c r="F1665" s="99"/>
    </row>
    <row r="1666" ht="9.75">
      <c r="F1666" s="99"/>
    </row>
    <row r="1667" ht="9.75">
      <c r="F1667" s="99"/>
    </row>
    <row r="1668" ht="9.75">
      <c r="F1668" s="99"/>
    </row>
    <row r="1669" ht="9.75">
      <c r="F1669" s="99"/>
    </row>
    <row r="1670" ht="9.75">
      <c r="F1670" s="99"/>
    </row>
    <row r="1671" ht="9.75">
      <c r="F1671" s="99"/>
    </row>
    <row r="1672" ht="9.75">
      <c r="F1672" s="99"/>
    </row>
    <row r="1673" ht="9.75">
      <c r="F1673" s="99"/>
    </row>
    <row r="1674" ht="9.75">
      <c r="F1674" s="99"/>
    </row>
    <row r="1675" ht="9.75">
      <c r="F1675" s="99"/>
    </row>
    <row r="1676" ht="9.75">
      <c r="F1676" s="99"/>
    </row>
    <row r="1677" ht="9.75">
      <c r="F1677" s="99"/>
    </row>
    <row r="1678" ht="9.75">
      <c r="F1678" s="99"/>
    </row>
    <row r="1679" ht="9.75">
      <c r="F1679" s="99"/>
    </row>
    <row r="1680" ht="9.75">
      <c r="F1680" s="99"/>
    </row>
    <row r="1681" ht="9.75">
      <c r="F1681" s="99"/>
    </row>
    <row r="1682" ht="9.75">
      <c r="F1682" s="99"/>
    </row>
    <row r="1683" ht="9.75">
      <c r="F1683" s="99"/>
    </row>
    <row r="1684" ht="9.75">
      <c r="F1684" s="99"/>
    </row>
    <row r="1685" ht="9.75">
      <c r="F1685" s="99"/>
    </row>
    <row r="1686" ht="9.75">
      <c r="F1686" s="99"/>
    </row>
    <row r="1687" ht="9.75">
      <c r="F1687" s="99"/>
    </row>
    <row r="1688" ht="9.75">
      <c r="F1688" s="99"/>
    </row>
    <row r="1689" ht="9.75">
      <c r="F1689" s="99"/>
    </row>
    <row r="1690" ht="9.75">
      <c r="F1690" s="99"/>
    </row>
    <row r="1691" ht="9.75">
      <c r="F1691" s="99"/>
    </row>
    <row r="1692" ht="9.75">
      <c r="F1692" s="99"/>
    </row>
    <row r="1693" ht="9.75">
      <c r="F1693" s="99"/>
    </row>
    <row r="1694" ht="9.75">
      <c r="F1694" s="99"/>
    </row>
    <row r="1695" ht="9.75">
      <c r="F1695" s="99"/>
    </row>
    <row r="1696" ht="9.75">
      <c r="F1696" s="99"/>
    </row>
    <row r="1697" ht="9.75">
      <c r="F1697" s="99"/>
    </row>
    <row r="1698" ht="9.75">
      <c r="F1698" s="99"/>
    </row>
    <row r="1699" ht="9.75">
      <c r="F1699" s="99"/>
    </row>
    <row r="1700" ht="9.75">
      <c r="F1700" s="99"/>
    </row>
    <row r="1701" ht="9.75">
      <c r="F1701" s="99"/>
    </row>
    <row r="1702" ht="9.75">
      <c r="F1702" s="99"/>
    </row>
    <row r="1703" ht="9.75">
      <c r="F1703" s="99"/>
    </row>
    <row r="1704" ht="9.75">
      <c r="F1704" s="99"/>
    </row>
    <row r="1705" ht="9.75">
      <c r="F1705" s="99"/>
    </row>
    <row r="1706" ht="9.75">
      <c r="F1706" s="99"/>
    </row>
    <row r="1707" ht="9.75">
      <c r="F1707" s="99"/>
    </row>
    <row r="1708" ht="9.75">
      <c r="F1708" s="99"/>
    </row>
    <row r="1709" ht="9.75">
      <c r="F1709" s="99"/>
    </row>
    <row r="1710" ht="9.75">
      <c r="F1710" s="99"/>
    </row>
    <row r="1711" ht="9.75">
      <c r="F1711" s="99"/>
    </row>
    <row r="1712" ht="9.75">
      <c r="F1712" s="99"/>
    </row>
    <row r="1713" ht="9.75">
      <c r="F1713" s="99"/>
    </row>
    <row r="1714" ht="9.75">
      <c r="F1714" s="99"/>
    </row>
    <row r="1715" ht="9.75">
      <c r="F1715" s="99"/>
    </row>
    <row r="1716" ht="9.75">
      <c r="F1716" s="99"/>
    </row>
    <row r="1717" ht="9.75">
      <c r="F1717" s="99"/>
    </row>
    <row r="1718" ht="9.75">
      <c r="F1718" s="99"/>
    </row>
    <row r="1719" ht="9.75">
      <c r="F1719" s="99"/>
    </row>
    <row r="1720" ht="9.75">
      <c r="F1720" s="99"/>
    </row>
    <row r="1721" ht="9.75">
      <c r="F1721" s="99"/>
    </row>
    <row r="1722" ht="9.75">
      <c r="F1722" s="99"/>
    </row>
    <row r="1723" ht="9.75">
      <c r="F1723" s="99"/>
    </row>
    <row r="1724" ht="9.75">
      <c r="F1724" s="99"/>
    </row>
    <row r="1725" ht="9.75">
      <c r="F1725" s="99"/>
    </row>
    <row r="1726" ht="9.75">
      <c r="F1726" s="99"/>
    </row>
    <row r="1727" ht="9.75">
      <c r="F1727" s="99"/>
    </row>
    <row r="1728" ht="9.75">
      <c r="F1728" s="99"/>
    </row>
    <row r="1729" ht="9.75">
      <c r="F1729" s="99"/>
    </row>
    <row r="1730" ht="9.75">
      <c r="F1730" s="99"/>
    </row>
    <row r="1731" ht="9.75">
      <c r="F1731" s="99"/>
    </row>
    <row r="1732" ht="9.75">
      <c r="F1732" s="99"/>
    </row>
    <row r="1733" ht="9.75">
      <c r="F1733" s="99"/>
    </row>
    <row r="1734" ht="9.75">
      <c r="F1734" s="99"/>
    </row>
    <row r="1735" ht="9.75">
      <c r="F1735" s="99"/>
    </row>
    <row r="1736" ht="9.75">
      <c r="F1736" s="99"/>
    </row>
    <row r="1737" ht="9.75">
      <c r="F1737" s="99"/>
    </row>
    <row r="1738" ht="9.75">
      <c r="F1738" s="99"/>
    </row>
    <row r="1739" ht="9.75">
      <c r="F1739" s="99"/>
    </row>
    <row r="1740" ht="9.75">
      <c r="F1740" s="99"/>
    </row>
    <row r="1741" ht="9.75">
      <c r="F1741" s="99"/>
    </row>
    <row r="1742" ht="9.75">
      <c r="F1742" s="99"/>
    </row>
    <row r="1743" ht="9.75">
      <c r="F1743" s="99"/>
    </row>
    <row r="1744" ht="9.75">
      <c r="F1744" s="99"/>
    </row>
    <row r="1745" ht="9.75">
      <c r="F1745" s="99"/>
    </row>
    <row r="1746" ht="9.75">
      <c r="F1746" s="99"/>
    </row>
    <row r="1747" ht="9.75">
      <c r="F1747" s="99"/>
    </row>
    <row r="1748" ht="9.75">
      <c r="F1748" s="99"/>
    </row>
    <row r="1749" ht="9.75">
      <c r="F1749" s="99"/>
    </row>
    <row r="1750" ht="9.75">
      <c r="F1750" s="99"/>
    </row>
    <row r="1751" ht="9.75">
      <c r="F1751" s="99"/>
    </row>
    <row r="1752" ht="9.75">
      <c r="F1752" s="99"/>
    </row>
    <row r="1753" ht="9.75">
      <c r="F1753" s="99"/>
    </row>
    <row r="1754" ht="9.75">
      <c r="F1754" s="99"/>
    </row>
    <row r="1755" ht="9.75">
      <c r="F1755" s="99"/>
    </row>
    <row r="1756" ht="9.75">
      <c r="F1756" s="99"/>
    </row>
    <row r="1757" ht="9.75">
      <c r="F1757" s="99"/>
    </row>
    <row r="1758" ht="9.75">
      <c r="F1758" s="99"/>
    </row>
    <row r="1759" ht="9.75">
      <c r="F1759" s="99"/>
    </row>
    <row r="1760" ht="9.75">
      <c r="F1760" s="99"/>
    </row>
    <row r="1761" ht="9.75">
      <c r="F1761" s="99"/>
    </row>
    <row r="1762" ht="9.75">
      <c r="F1762" s="99"/>
    </row>
    <row r="1763" ht="9.75">
      <c r="F1763" s="99"/>
    </row>
    <row r="1764" ht="9.75">
      <c r="F1764" s="99"/>
    </row>
    <row r="1765" ht="9.75">
      <c r="F1765" s="99"/>
    </row>
    <row r="1766" ht="9.75">
      <c r="F1766" s="99"/>
    </row>
    <row r="1767" ht="9.75">
      <c r="F1767" s="99"/>
    </row>
    <row r="1768" ht="9.75">
      <c r="F1768" s="99"/>
    </row>
    <row r="1769" ht="9.75">
      <c r="F1769" s="99"/>
    </row>
    <row r="1770" ht="9.75">
      <c r="F1770" s="99"/>
    </row>
    <row r="1771" ht="9.75">
      <c r="F1771" s="99"/>
    </row>
    <row r="1772" ht="9.75">
      <c r="F1772" s="99"/>
    </row>
    <row r="1773" ht="9.75">
      <c r="F1773" s="99"/>
    </row>
    <row r="1774" ht="9.75">
      <c r="F1774" s="99"/>
    </row>
    <row r="1775" ht="9.75">
      <c r="F1775" s="99"/>
    </row>
    <row r="1776" ht="9.75">
      <c r="F1776" s="99"/>
    </row>
    <row r="1777" ht="9.75">
      <c r="F1777" s="99"/>
    </row>
    <row r="1778" ht="9.75">
      <c r="F1778" s="99"/>
    </row>
    <row r="1779" ht="9.75">
      <c r="F1779" s="99"/>
    </row>
    <row r="1780" ht="9.75">
      <c r="F1780" s="99"/>
    </row>
    <row r="1781" ht="9.75">
      <c r="F1781" s="99"/>
    </row>
    <row r="1782" ht="9.75">
      <c r="F1782" s="99"/>
    </row>
    <row r="1783" ht="9.75">
      <c r="F1783" s="99"/>
    </row>
    <row r="1784" ht="9.75">
      <c r="F1784" s="99"/>
    </row>
    <row r="1785" ht="9.75">
      <c r="F1785" s="99"/>
    </row>
    <row r="1786" ht="9.75">
      <c r="F1786" s="99"/>
    </row>
    <row r="1787" ht="9.75">
      <c r="F1787" s="99"/>
    </row>
    <row r="1788" ht="9.75">
      <c r="F1788" s="99"/>
    </row>
    <row r="1789" ht="9.75">
      <c r="F1789" s="99"/>
    </row>
    <row r="1790" ht="9.75">
      <c r="F1790" s="99"/>
    </row>
    <row r="1791" ht="9.75">
      <c r="F1791" s="99"/>
    </row>
    <row r="1792" ht="9.75">
      <c r="F1792" s="99"/>
    </row>
    <row r="1793" ht="9.75">
      <c r="F1793" s="99"/>
    </row>
    <row r="1794" ht="9.75">
      <c r="F1794" s="99"/>
    </row>
    <row r="1795" ht="9.75">
      <c r="F1795" s="99"/>
    </row>
    <row r="1796" ht="9.75">
      <c r="F1796" s="99"/>
    </row>
    <row r="1797" ht="9.75">
      <c r="F1797" s="99"/>
    </row>
    <row r="1798" ht="9.75">
      <c r="F1798" s="99"/>
    </row>
    <row r="1799" ht="9.75">
      <c r="F1799" s="99"/>
    </row>
    <row r="1800" ht="9.75">
      <c r="F1800" s="99"/>
    </row>
    <row r="1801" ht="9.75">
      <c r="F1801" s="99"/>
    </row>
    <row r="1802" ht="9.75">
      <c r="F1802" s="99"/>
    </row>
    <row r="1803" ht="9.75">
      <c r="F1803" s="99"/>
    </row>
    <row r="1804" ht="9.75">
      <c r="F1804" s="99"/>
    </row>
    <row r="1805" ht="9.75">
      <c r="F1805" s="99"/>
    </row>
    <row r="1806" ht="9.75">
      <c r="F1806" s="99"/>
    </row>
    <row r="1807" ht="9.75">
      <c r="F1807" s="99"/>
    </row>
    <row r="1808" ht="9.75">
      <c r="F1808" s="99"/>
    </row>
    <row r="1809" ht="9.75">
      <c r="F1809" s="99"/>
    </row>
    <row r="1810" ht="9.75">
      <c r="F1810" s="99"/>
    </row>
    <row r="1811" ht="9.75">
      <c r="F1811" s="99"/>
    </row>
    <row r="1812" ht="9.75">
      <c r="F1812" s="99"/>
    </row>
    <row r="1813" ht="9.75">
      <c r="F1813" s="99"/>
    </row>
    <row r="1814" ht="9.75">
      <c r="F1814" s="99"/>
    </row>
    <row r="1815" ht="9.75">
      <c r="F1815" s="99"/>
    </row>
    <row r="1816" ht="9.75">
      <c r="F1816" s="99"/>
    </row>
    <row r="1817" ht="9.75">
      <c r="F1817" s="99"/>
    </row>
    <row r="1818" ht="9.75">
      <c r="F1818" s="99"/>
    </row>
    <row r="1819" ht="9.75">
      <c r="F1819" s="99"/>
    </row>
    <row r="1820" ht="9.75">
      <c r="F1820" s="99"/>
    </row>
    <row r="1821" ht="9.75">
      <c r="F1821" s="99"/>
    </row>
    <row r="1822" ht="9.75">
      <c r="F1822" s="99"/>
    </row>
    <row r="1823" ht="9.75">
      <c r="F1823" s="99"/>
    </row>
    <row r="1824" ht="9.75">
      <c r="F1824" s="99"/>
    </row>
    <row r="1825" ht="9.75">
      <c r="F1825" s="99"/>
    </row>
    <row r="1826" ht="9.75">
      <c r="F1826" s="99"/>
    </row>
    <row r="1827" ht="9.75">
      <c r="F1827" s="99"/>
    </row>
    <row r="1828" ht="9.75">
      <c r="F1828" s="99"/>
    </row>
    <row r="1829" ht="9.75">
      <c r="F1829" s="99"/>
    </row>
    <row r="1830" ht="9.75">
      <c r="F1830" s="99"/>
    </row>
    <row r="1831" ht="9.75">
      <c r="F1831" s="99"/>
    </row>
    <row r="1832" ht="9.75">
      <c r="F1832" s="99"/>
    </row>
    <row r="1833" ht="9.75">
      <c r="F1833" s="99"/>
    </row>
    <row r="1834" ht="9.75">
      <c r="F1834" s="99"/>
    </row>
    <row r="1835" ht="9.75">
      <c r="F1835" s="99"/>
    </row>
    <row r="1836" ht="9.75">
      <c r="F1836" s="99"/>
    </row>
    <row r="1837" ht="9.75">
      <c r="F1837" s="99"/>
    </row>
    <row r="1838" ht="9.75">
      <c r="F1838" s="99"/>
    </row>
    <row r="1839" ht="9.75">
      <c r="F1839" s="99"/>
    </row>
    <row r="1840" ht="9.75">
      <c r="F1840" s="99"/>
    </row>
    <row r="1841" ht="9.75">
      <c r="F1841" s="99"/>
    </row>
    <row r="1842" ht="9.75">
      <c r="F1842" s="99"/>
    </row>
    <row r="1843" ht="9.75">
      <c r="F1843" s="99"/>
    </row>
    <row r="1844" ht="9.75">
      <c r="F1844" s="99"/>
    </row>
    <row r="1845" ht="9.75">
      <c r="F1845" s="99"/>
    </row>
    <row r="1846" ht="9.75">
      <c r="F1846" s="99"/>
    </row>
    <row r="1847" ht="9.75">
      <c r="F1847" s="99"/>
    </row>
    <row r="1848" ht="9.75">
      <c r="F1848" s="99"/>
    </row>
    <row r="1849" ht="9.75">
      <c r="F1849" s="99"/>
    </row>
    <row r="1850" ht="9.75">
      <c r="F1850" s="99"/>
    </row>
    <row r="1851" ht="9.75">
      <c r="F1851" s="99"/>
    </row>
    <row r="1852" ht="9.75">
      <c r="F1852" s="99"/>
    </row>
    <row r="1853" ht="9.75">
      <c r="F1853" s="99"/>
    </row>
    <row r="1854" ht="9.75">
      <c r="F1854" s="99"/>
    </row>
    <row r="1855" ht="9.75">
      <c r="F1855" s="99"/>
    </row>
    <row r="1856" ht="9.75">
      <c r="F1856" s="99"/>
    </row>
    <row r="1857" ht="9.75">
      <c r="F1857" s="99"/>
    </row>
    <row r="1858" ht="9.75">
      <c r="F1858" s="99"/>
    </row>
    <row r="1859" ht="9.75">
      <c r="F1859" s="99"/>
    </row>
    <row r="1860" ht="9.75">
      <c r="F1860" s="99"/>
    </row>
    <row r="1861" ht="9.75">
      <c r="F1861" s="99"/>
    </row>
    <row r="1862" ht="9.75">
      <c r="F1862" s="99"/>
    </row>
    <row r="1863" ht="9.75">
      <c r="F1863" s="99"/>
    </row>
    <row r="1864" ht="9.75">
      <c r="F1864" s="99"/>
    </row>
    <row r="1865" ht="9.75">
      <c r="F1865" s="99"/>
    </row>
    <row r="1866" ht="9.75">
      <c r="F1866" s="99"/>
    </row>
    <row r="1867" ht="9.75">
      <c r="F1867" s="99"/>
    </row>
    <row r="1868" ht="9.75">
      <c r="F1868" s="99"/>
    </row>
    <row r="1869" ht="9.75">
      <c r="F1869" s="99"/>
    </row>
    <row r="1870" ht="9.75">
      <c r="F1870" s="99"/>
    </row>
    <row r="1871" ht="9.75">
      <c r="F1871" s="99"/>
    </row>
    <row r="1872" ht="9.75">
      <c r="F1872" s="99"/>
    </row>
    <row r="1873" ht="9.75">
      <c r="F1873" s="99"/>
    </row>
    <row r="1874" ht="9.75">
      <c r="F1874" s="99"/>
    </row>
    <row r="1875" ht="9.75">
      <c r="F1875" s="99"/>
    </row>
    <row r="1876" ht="9.75">
      <c r="F1876" s="99"/>
    </row>
    <row r="1877" ht="9.75">
      <c r="F1877" s="99"/>
    </row>
    <row r="1878" ht="9.75">
      <c r="F1878" s="99"/>
    </row>
    <row r="1879" ht="9.75">
      <c r="F1879" s="99"/>
    </row>
    <row r="1880" ht="9.75">
      <c r="F1880" s="99"/>
    </row>
    <row r="1881" ht="9.75">
      <c r="F1881" s="99"/>
    </row>
    <row r="1882" ht="9.75">
      <c r="F1882" s="99"/>
    </row>
    <row r="1883" ht="9.75">
      <c r="F1883" s="99"/>
    </row>
    <row r="1884" ht="9.75">
      <c r="F1884" s="99"/>
    </row>
    <row r="1885" ht="9.75">
      <c r="F1885" s="99"/>
    </row>
    <row r="1886" ht="9.75">
      <c r="F1886" s="99"/>
    </row>
    <row r="1887" ht="9.75">
      <c r="F1887" s="99"/>
    </row>
    <row r="1888" ht="9.75">
      <c r="F1888" s="99"/>
    </row>
    <row r="1889" ht="9.75">
      <c r="F1889" s="99"/>
    </row>
    <row r="1890" ht="9.75">
      <c r="F1890" s="99"/>
    </row>
    <row r="1891" ht="9.75">
      <c r="F1891" s="99"/>
    </row>
    <row r="1892" ht="9.75">
      <c r="F1892" s="99"/>
    </row>
    <row r="1893" ht="9.75">
      <c r="F1893" s="99"/>
    </row>
    <row r="1894" ht="9.75">
      <c r="F1894" s="99"/>
    </row>
    <row r="1895" ht="9.75">
      <c r="F1895" s="99"/>
    </row>
    <row r="1896" ht="9.75">
      <c r="F1896" s="99"/>
    </row>
    <row r="1897" ht="9.75">
      <c r="F1897" s="99"/>
    </row>
    <row r="1898" ht="9.75">
      <c r="F1898" s="99"/>
    </row>
    <row r="1899" ht="9.75">
      <c r="F1899" s="99"/>
    </row>
    <row r="1900" ht="9.75">
      <c r="F1900" s="99"/>
    </row>
    <row r="1901" ht="9.75">
      <c r="F1901" s="99"/>
    </row>
    <row r="1902" ht="9.75">
      <c r="F1902" s="99"/>
    </row>
    <row r="1903" ht="9.75">
      <c r="F1903" s="99"/>
    </row>
    <row r="1904" ht="9.75">
      <c r="F1904" s="99"/>
    </row>
    <row r="1905" ht="9.75">
      <c r="F1905" s="99"/>
    </row>
    <row r="1906" ht="9.75">
      <c r="F1906" s="99"/>
    </row>
    <row r="1907" ht="9.75">
      <c r="F1907" s="99"/>
    </row>
    <row r="1908" ht="9.75">
      <c r="F1908" s="99"/>
    </row>
    <row r="1909" ht="9.75">
      <c r="F1909" s="99"/>
    </row>
    <row r="1910" ht="9.75">
      <c r="F1910" s="99"/>
    </row>
    <row r="1911" ht="9.75">
      <c r="F1911" s="99"/>
    </row>
    <row r="1912" ht="9.75">
      <c r="F1912" s="99"/>
    </row>
    <row r="1913" ht="9.75">
      <c r="F1913" s="99"/>
    </row>
    <row r="1914" ht="9.75">
      <c r="F1914" s="99"/>
    </row>
    <row r="1915" ht="9.75">
      <c r="F1915" s="99"/>
    </row>
    <row r="1916" ht="9.75">
      <c r="F1916" s="99"/>
    </row>
    <row r="1917" ht="9.75">
      <c r="F1917" s="99"/>
    </row>
    <row r="1918" ht="9.75">
      <c r="F1918" s="99"/>
    </row>
    <row r="1919" ht="9.75">
      <c r="F1919" s="99"/>
    </row>
    <row r="1920" ht="9.75">
      <c r="F1920" s="99"/>
    </row>
    <row r="1921" ht="9.75">
      <c r="F1921" s="99"/>
    </row>
    <row r="1922" ht="9.75">
      <c r="F1922" s="99"/>
    </row>
    <row r="1923" ht="9.75">
      <c r="F1923" s="99"/>
    </row>
    <row r="1924" ht="9.75">
      <c r="F1924" s="99"/>
    </row>
    <row r="1925" ht="9.75">
      <c r="F1925" s="99"/>
    </row>
    <row r="1926" ht="9.75">
      <c r="F1926" s="99"/>
    </row>
    <row r="1927" ht="9.75">
      <c r="F1927" s="99"/>
    </row>
    <row r="1928" ht="9.75">
      <c r="F1928" s="99"/>
    </row>
    <row r="1929" ht="9.75">
      <c r="F1929" s="99"/>
    </row>
    <row r="1930" ht="9.75">
      <c r="F1930" s="99"/>
    </row>
    <row r="1931" ht="9.75">
      <c r="F1931" s="99"/>
    </row>
    <row r="1932" ht="9.75">
      <c r="F1932" s="99"/>
    </row>
    <row r="1933" ht="9.75">
      <c r="F1933" s="99"/>
    </row>
    <row r="1934" ht="9.75">
      <c r="F1934" s="99"/>
    </row>
    <row r="1935" ht="9.75">
      <c r="F1935" s="99"/>
    </row>
    <row r="1936" ht="9.75">
      <c r="F1936" s="99"/>
    </row>
    <row r="1937" ht="9.75">
      <c r="F1937" s="99"/>
    </row>
    <row r="1938" ht="9.75">
      <c r="F1938" s="99"/>
    </row>
    <row r="1939" ht="9.75">
      <c r="F1939" s="99"/>
    </row>
    <row r="1940" ht="9.75">
      <c r="F1940" s="99"/>
    </row>
    <row r="1941" ht="9.75">
      <c r="F1941" s="99"/>
    </row>
    <row r="1942" ht="9.75">
      <c r="F1942" s="99"/>
    </row>
    <row r="1943" ht="9.75">
      <c r="F1943" s="99"/>
    </row>
    <row r="1944" ht="9.75">
      <c r="F1944" s="99"/>
    </row>
    <row r="1945" ht="9.75">
      <c r="F1945" s="99"/>
    </row>
    <row r="1946" ht="9.75">
      <c r="F1946" s="99"/>
    </row>
    <row r="1947" ht="9.75">
      <c r="F1947" s="99"/>
    </row>
    <row r="1948" ht="9.75">
      <c r="F1948" s="99"/>
    </row>
    <row r="1949" ht="9.75">
      <c r="F1949" s="99"/>
    </row>
    <row r="1950" ht="9.75">
      <c r="F1950" s="99"/>
    </row>
    <row r="1951" ht="9.75">
      <c r="F1951" s="99"/>
    </row>
    <row r="1952" ht="9.75">
      <c r="F1952" s="99"/>
    </row>
    <row r="1953" ht="9.75">
      <c r="F1953" s="99"/>
    </row>
    <row r="1954" ht="9.75">
      <c r="F1954" s="99"/>
    </row>
    <row r="1955" ht="9.75">
      <c r="F1955" s="99"/>
    </row>
    <row r="1956" ht="9.75">
      <c r="F1956" s="99"/>
    </row>
    <row r="1957" ht="9.75">
      <c r="F1957" s="99"/>
    </row>
    <row r="1958" ht="9.75">
      <c r="F1958" s="99"/>
    </row>
    <row r="1959" ht="9.75">
      <c r="F1959" s="99"/>
    </row>
    <row r="1960" ht="9.75">
      <c r="F1960" s="99"/>
    </row>
    <row r="1961" ht="9.75">
      <c r="F1961" s="99"/>
    </row>
    <row r="1962" ht="9.75">
      <c r="F1962" s="99"/>
    </row>
    <row r="1963" ht="9.75">
      <c r="F1963" s="99"/>
    </row>
    <row r="1964" ht="9.75">
      <c r="F1964" s="99"/>
    </row>
    <row r="1965" ht="9.75">
      <c r="F1965" s="99"/>
    </row>
    <row r="1966" ht="9.75">
      <c r="F1966" s="99"/>
    </row>
    <row r="1967" ht="9.75">
      <c r="F1967" s="99"/>
    </row>
    <row r="1968" ht="9.75">
      <c r="F1968" s="99"/>
    </row>
    <row r="1969" ht="9.75">
      <c r="F1969" s="99"/>
    </row>
    <row r="1970" ht="9.75">
      <c r="F1970" s="99"/>
    </row>
    <row r="1971" ht="9.75">
      <c r="F1971" s="99"/>
    </row>
    <row r="1972" ht="9.75">
      <c r="F1972" s="99"/>
    </row>
    <row r="1973" ht="9.75">
      <c r="F1973" s="99"/>
    </row>
    <row r="1974" ht="9.75">
      <c r="F1974" s="99"/>
    </row>
    <row r="1975" ht="9.75">
      <c r="F1975" s="99"/>
    </row>
    <row r="1976" ht="9.75">
      <c r="F1976" s="99"/>
    </row>
    <row r="1977" ht="9.75">
      <c r="F1977" s="99"/>
    </row>
    <row r="1978" ht="9.75">
      <c r="F1978" s="99"/>
    </row>
    <row r="1979" ht="9.75">
      <c r="F1979" s="99"/>
    </row>
    <row r="1980" ht="9.75">
      <c r="F1980" s="99"/>
    </row>
    <row r="1981" ht="9.75">
      <c r="F1981" s="99"/>
    </row>
    <row r="1982" ht="9.75">
      <c r="F1982" s="99"/>
    </row>
    <row r="1983" ht="9.75">
      <c r="F1983" s="99"/>
    </row>
    <row r="1984" ht="9.75">
      <c r="F1984" s="99"/>
    </row>
    <row r="1985" ht="9.75">
      <c r="F1985" s="99"/>
    </row>
    <row r="1986" ht="9.75">
      <c r="F1986" s="99"/>
    </row>
    <row r="1987" ht="9.75">
      <c r="F1987" s="99"/>
    </row>
    <row r="1988" ht="9.75">
      <c r="F1988" s="99"/>
    </row>
    <row r="1989" ht="9.75">
      <c r="F1989" s="99"/>
    </row>
    <row r="1990" ht="9.75">
      <c r="F1990" s="99"/>
    </row>
    <row r="1991" ht="9.75">
      <c r="F1991" s="99"/>
    </row>
    <row r="1992" ht="9.75">
      <c r="F1992" s="99"/>
    </row>
    <row r="1993" ht="9.75">
      <c r="F1993" s="99"/>
    </row>
    <row r="1994" ht="9.75">
      <c r="F1994" s="99"/>
    </row>
    <row r="1995" ht="9.75">
      <c r="F1995" s="99"/>
    </row>
    <row r="1996" ht="9.75">
      <c r="F1996" s="99"/>
    </row>
    <row r="1997" ht="9.75">
      <c r="F1997" s="99"/>
    </row>
    <row r="1998" ht="9.75">
      <c r="F1998" s="99"/>
    </row>
    <row r="1999" ht="9.75">
      <c r="F1999" s="99"/>
    </row>
    <row r="2000" ht="9.75">
      <c r="F2000" s="99"/>
    </row>
  </sheetData>
  <sheetProtection/>
  <autoFilter ref="A12:M717"/>
  <mergeCells count="6">
    <mergeCell ref="A7:M7"/>
    <mergeCell ref="A9:M9"/>
    <mergeCell ref="A10:B10"/>
    <mergeCell ref="C10:E10"/>
    <mergeCell ref="F10:F11"/>
    <mergeCell ref="G10:M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1"/>
  <headerFooter>
    <oddHeader>&amp;C&amp;22&amp;A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000"/>
  <sheetViews>
    <sheetView workbookViewId="0" topLeftCell="A1">
      <pane ySplit="11" topLeftCell="A374" activePane="bottomLeft" state="frozen"/>
      <selection pane="topLeft" activeCell="A53" sqref="A53"/>
      <selection pane="bottomLeft" activeCell="A53" sqref="A53"/>
    </sheetView>
  </sheetViews>
  <sheetFormatPr defaultColWidth="9.33203125" defaultRowHeight="10.5"/>
  <cols>
    <col min="2" max="2" width="31.66015625" style="0" customWidth="1"/>
    <col min="4" max="4" width="27.5" style="0" customWidth="1"/>
    <col min="5" max="5" width="11.66015625" style="0" customWidth="1"/>
    <col min="6" max="6" width="11.16015625" style="0" bestFit="1" customWidth="1"/>
    <col min="10" max="10" width="10.5" style="0" customWidth="1"/>
    <col min="13" max="13" width="13.5" style="0" customWidth="1"/>
    <col min="14" max="14" width="15.5" style="0" customWidth="1"/>
    <col min="15" max="15" width="14.83203125" style="0" bestFit="1" customWidth="1"/>
  </cols>
  <sheetData>
    <row r="1" ht="18">
      <c r="A1" t="s">
        <v>774</v>
      </c>
    </row>
    <row r="2" ht="9.75">
      <c r="A2" s="266"/>
    </row>
    <row r="3" ht="14.25">
      <c r="A3" s="267" t="s">
        <v>579</v>
      </c>
    </row>
    <row r="4" ht="14.25">
      <c r="A4" s="267" t="s">
        <v>580</v>
      </c>
    </row>
    <row r="5" ht="14.25">
      <c r="A5" s="266" t="s">
        <v>658</v>
      </c>
    </row>
    <row r="7" spans="1:13" ht="19.5" customHeight="1">
      <c r="A7" s="1155" t="s">
        <v>582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6"/>
    </row>
    <row r="9" spans="1:13" ht="10.5" thickBot="1">
      <c r="A9" s="1157" t="s">
        <v>583</v>
      </c>
      <c r="B9" s="1156"/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</row>
    <row r="10" spans="1:13" ht="15" thickBot="1">
      <c r="A10" s="1158" t="s">
        <v>124</v>
      </c>
      <c r="B10" s="1159"/>
      <c r="C10" s="1160" t="s">
        <v>125</v>
      </c>
      <c r="D10" s="1161"/>
      <c r="E10" s="1159"/>
      <c r="F10" s="1162" t="s">
        <v>101</v>
      </c>
      <c r="G10" s="1160" t="s">
        <v>584</v>
      </c>
      <c r="H10" s="1161"/>
      <c r="I10" s="1161"/>
      <c r="J10" s="1161"/>
      <c r="K10" s="1161"/>
      <c r="L10" s="1161"/>
      <c r="M10" s="1164"/>
    </row>
    <row r="11" spans="1:13" ht="43.5" thickBot="1">
      <c r="A11" s="268" t="s">
        <v>128</v>
      </c>
      <c r="B11" s="269" t="s">
        <v>129</v>
      </c>
      <c r="C11" s="269" t="s">
        <v>128</v>
      </c>
      <c r="D11" s="269" t="s">
        <v>129</v>
      </c>
      <c r="E11" s="269" t="s">
        <v>102</v>
      </c>
      <c r="F11" s="1163"/>
      <c r="G11" s="269" t="s">
        <v>103</v>
      </c>
      <c r="H11" s="269" t="s">
        <v>104</v>
      </c>
      <c r="I11" s="269" t="s">
        <v>105</v>
      </c>
      <c r="J11" s="269" t="s">
        <v>106</v>
      </c>
      <c r="K11" s="269" t="s">
        <v>5</v>
      </c>
      <c r="L11" s="269" t="s">
        <v>126</v>
      </c>
      <c r="M11" s="270" t="s">
        <v>698</v>
      </c>
    </row>
    <row r="12" spans="1:13" ht="14.25">
      <c r="A12" s="637">
        <v>1100</v>
      </c>
      <c r="B12" s="626" t="s">
        <v>585</v>
      </c>
      <c r="C12" s="626"/>
      <c r="D12" s="626"/>
      <c r="E12" s="626"/>
      <c r="F12" s="1053"/>
      <c r="G12" s="626"/>
      <c r="H12" s="626"/>
      <c r="I12" s="626"/>
      <c r="J12" s="626"/>
      <c r="K12" s="626"/>
      <c r="L12" s="626"/>
      <c r="M12" s="638"/>
    </row>
    <row r="13" spans="1:13" ht="15" customHeight="1">
      <c r="A13" s="639">
        <v>11110</v>
      </c>
      <c r="B13" s="627" t="s">
        <v>117</v>
      </c>
      <c r="C13" s="627" t="s">
        <v>130</v>
      </c>
      <c r="D13" s="627" t="s">
        <v>131</v>
      </c>
      <c r="E13" s="628">
        <v>2.25</v>
      </c>
      <c r="F13" s="628" t="s">
        <v>132</v>
      </c>
      <c r="G13" s="628">
        <v>0</v>
      </c>
      <c r="H13" s="628">
        <v>0</v>
      </c>
      <c r="I13" s="628">
        <v>2</v>
      </c>
      <c r="J13" s="628">
        <v>0</v>
      </c>
      <c r="K13" s="628">
        <v>2</v>
      </c>
      <c r="L13" s="628">
        <v>2</v>
      </c>
      <c r="M13" s="640">
        <v>4.5</v>
      </c>
    </row>
    <row r="14" spans="1:13" ht="15" customHeight="1">
      <c r="A14" s="641">
        <v>11110</v>
      </c>
      <c r="B14" s="629" t="s">
        <v>117</v>
      </c>
      <c r="C14" s="629" t="s">
        <v>130</v>
      </c>
      <c r="D14" s="629" t="s">
        <v>131</v>
      </c>
      <c r="E14" s="630">
        <v>2.25</v>
      </c>
      <c r="F14" s="630" t="s">
        <v>109</v>
      </c>
      <c r="G14" s="630">
        <v>0</v>
      </c>
      <c r="H14" s="630">
        <v>7</v>
      </c>
      <c r="I14" s="630">
        <v>17</v>
      </c>
      <c r="J14" s="630">
        <v>1</v>
      </c>
      <c r="K14" s="630">
        <v>25</v>
      </c>
      <c r="L14" s="630">
        <v>17.5</v>
      </c>
      <c r="M14" s="642">
        <v>39.38</v>
      </c>
    </row>
    <row r="15" spans="1:13" ht="15" customHeight="1">
      <c r="A15" s="639">
        <v>11110</v>
      </c>
      <c r="B15" s="627" t="s">
        <v>117</v>
      </c>
      <c r="C15" s="627" t="s">
        <v>95</v>
      </c>
      <c r="D15" s="627" t="s">
        <v>18</v>
      </c>
      <c r="E15" s="628">
        <v>2.25</v>
      </c>
      <c r="F15" s="628" t="s">
        <v>132</v>
      </c>
      <c r="G15" s="628">
        <v>81</v>
      </c>
      <c r="H15" s="628">
        <v>9</v>
      </c>
      <c r="I15" s="628">
        <v>71</v>
      </c>
      <c r="J15" s="628">
        <v>0</v>
      </c>
      <c r="K15" s="628">
        <v>161</v>
      </c>
      <c r="L15" s="628">
        <v>152</v>
      </c>
      <c r="M15" s="640">
        <v>342</v>
      </c>
    </row>
    <row r="16" spans="1:13" ht="15" customHeight="1">
      <c r="A16" s="641">
        <v>11110</v>
      </c>
      <c r="B16" s="629" t="s">
        <v>117</v>
      </c>
      <c r="C16" s="629" t="s">
        <v>95</v>
      </c>
      <c r="D16" s="629" t="s">
        <v>18</v>
      </c>
      <c r="E16" s="630">
        <v>2.25</v>
      </c>
      <c r="F16" s="630" t="s">
        <v>109</v>
      </c>
      <c r="G16" s="630">
        <v>0</v>
      </c>
      <c r="H16" s="630">
        <v>60</v>
      </c>
      <c r="I16" s="630">
        <v>240</v>
      </c>
      <c r="J16" s="630">
        <v>9</v>
      </c>
      <c r="K16" s="630">
        <v>309</v>
      </c>
      <c r="L16" s="630">
        <v>244.5</v>
      </c>
      <c r="M16" s="642">
        <v>550.13</v>
      </c>
    </row>
    <row r="17" spans="1:13" ht="15" customHeight="1">
      <c r="A17" s="639">
        <v>11110</v>
      </c>
      <c r="B17" s="627" t="s">
        <v>117</v>
      </c>
      <c r="C17" s="627" t="s">
        <v>133</v>
      </c>
      <c r="D17" s="627" t="s">
        <v>134</v>
      </c>
      <c r="E17" s="628">
        <v>2.25</v>
      </c>
      <c r="F17" s="628" t="s">
        <v>132</v>
      </c>
      <c r="G17" s="628">
        <v>10</v>
      </c>
      <c r="H17" s="628">
        <v>1</v>
      </c>
      <c r="I17" s="628">
        <v>8</v>
      </c>
      <c r="J17" s="628">
        <v>1</v>
      </c>
      <c r="K17" s="628">
        <v>20</v>
      </c>
      <c r="L17" s="628">
        <v>18.5</v>
      </c>
      <c r="M17" s="640">
        <v>41.63</v>
      </c>
    </row>
    <row r="18" spans="1:13" ht="15" customHeight="1">
      <c r="A18" s="641">
        <v>11110</v>
      </c>
      <c r="B18" s="629" t="s">
        <v>117</v>
      </c>
      <c r="C18" s="629" t="s">
        <v>133</v>
      </c>
      <c r="D18" s="629" t="s">
        <v>134</v>
      </c>
      <c r="E18" s="630">
        <v>2.25</v>
      </c>
      <c r="F18" s="630" t="s">
        <v>109</v>
      </c>
      <c r="G18" s="630">
        <v>0</v>
      </c>
      <c r="H18" s="630">
        <v>3</v>
      </c>
      <c r="I18" s="630">
        <v>26</v>
      </c>
      <c r="J18" s="630">
        <v>1</v>
      </c>
      <c r="K18" s="630">
        <v>30</v>
      </c>
      <c r="L18" s="630">
        <v>26.5</v>
      </c>
      <c r="M18" s="642">
        <v>59.63</v>
      </c>
    </row>
    <row r="19" spans="1:13" ht="15" customHeight="1">
      <c r="A19" s="639">
        <v>11110</v>
      </c>
      <c r="B19" s="627" t="s">
        <v>117</v>
      </c>
      <c r="C19" s="627" t="s">
        <v>9</v>
      </c>
      <c r="D19" s="627" t="s">
        <v>10</v>
      </c>
      <c r="E19" s="628">
        <v>2.8</v>
      </c>
      <c r="F19" s="628" t="s">
        <v>110</v>
      </c>
      <c r="G19" s="628">
        <v>324</v>
      </c>
      <c r="H19" s="628">
        <v>1</v>
      </c>
      <c r="I19" s="628">
        <v>83</v>
      </c>
      <c r="J19" s="628">
        <v>0</v>
      </c>
      <c r="K19" s="628">
        <v>408</v>
      </c>
      <c r="L19" s="628">
        <v>407</v>
      </c>
      <c r="M19" s="640">
        <v>1139.6</v>
      </c>
    </row>
    <row r="20" spans="1:13" ht="15" customHeight="1">
      <c r="A20" s="641">
        <v>11110</v>
      </c>
      <c r="B20" s="629" t="s">
        <v>117</v>
      </c>
      <c r="C20" s="629" t="s">
        <v>9</v>
      </c>
      <c r="D20" s="629" t="s">
        <v>10</v>
      </c>
      <c r="E20" s="630">
        <v>2.8</v>
      </c>
      <c r="F20" s="630" t="s">
        <v>113</v>
      </c>
      <c r="G20" s="630">
        <v>0</v>
      </c>
      <c r="H20" s="630">
        <v>79</v>
      </c>
      <c r="I20" s="630">
        <v>1494</v>
      </c>
      <c r="J20" s="630">
        <v>22</v>
      </c>
      <c r="K20" s="630">
        <v>1595</v>
      </c>
      <c r="L20" s="630">
        <v>1505</v>
      </c>
      <c r="M20" s="642">
        <v>4214</v>
      </c>
    </row>
    <row r="21" spans="1:13" ht="15" customHeight="1">
      <c r="A21" s="639">
        <v>11110</v>
      </c>
      <c r="B21" s="627" t="s">
        <v>117</v>
      </c>
      <c r="C21" s="627" t="s">
        <v>11</v>
      </c>
      <c r="D21" s="627" t="s">
        <v>12</v>
      </c>
      <c r="E21" s="628">
        <v>3.5</v>
      </c>
      <c r="F21" s="628" t="s">
        <v>110</v>
      </c>
      <c r="G21" s="628">
        <v>40</v>
      </c>
      <c r="H21" s="628">
        <v>0</v>
      </c>
      <c r="I21" s="628">
        <v>6</v>
      </c>
      <c r="J21" s="628">
        <v>0</v>
      </c>
      <c r="K21" s="628">
        <v>46</v>
      </c>
      <c r="L21" s="628">
        <v>46</v>
      </c>
      <c r="M21" s="640">
        <v>161</v>
      </c>
    </row>
    <row r="22" spans="1:13" ht="15" customHeight="1">
      <c r="A22" s="641">
        <v>11110</v>
      </c>
      <c r="B22" s="629" t="s">
        <v>117</v>
      </c>
      <c r="C22" s="629" t="s">
        <v>11</v>
      </c>
      <c r="D22" s="629" t="s">
        <v>12</v>
      </c>
      <c r="E22" s="630">
        <v>3.5</v>
      </c>
      <c r="F22" s="630" t="s">
        <v>113</v>
      </c>
      <c r="G22" s="630">
        <v>0</v>
      </c>
      <c r="H22" s="630">
        <v>15</v>
      </c>
      <c r="I22" s="630">
        <v>174</v>
      </c>
      <c r="J22" s="630">
        <v>3</v>
      </c>
      <c r="K22" s="630">
        <v>192</v>
      </c>
      <c r="L22" s="630">
        <v>175.5</v>
      </c>
      <c r="M22" s="642">
        <v>614.25</v>
      </c>
    </row>
    <row r="23" spans="1:13" ht="15" customHeight="1">
      <c r="A23" s="639">
        <v>11110</v>
      </c>
      <c r="B23" s="627" t="s">
        <v>117</v>
      </c>
      <c r="C23" s="627" t="s">
        <v>98</v>
      </c>
      <c r="D23" s="627" t="s">
        <v>18</v>
      </c>
      <c r="E23" s="628">
        <v>2.25</v>
      </c>
      <c r="F23" s="628" t="s">
        <v>116</v>
      </c>
      <c r="G23" s="628">
        <v>0</v>
      </c>
      <c r="H23" s="628">
        <v>1</v>
      </c>
      <c r="I23" s="628">
        <v>138</v>
      </c>
      <c r="J23" s="628">
        <v>2</v>
      </c>
      <c r="K23" s="628">
        <v>141</v>
      </c>
      <c r="L23" s="628">
        <v>139</v>
      </c>
      <c r="M23" s="640">
        <v>312.75</v>
      </c>
    </row>
    <row r="24" spans="1:13" ht="15" customHeight="1">
      <c r="A24" s="641">
        <v>11110</v>
      </c>
      <c r="B24" s="629" t="s">
        <v>117</v>
      </c>
      <c r="C24" s="629" t="s">
        <v>98</v>
      </c>
      <c r="D24" s="629" t="s">
        <v>18</v>
      </c>
      <c r="E24" s="630">
        <v>2.25</v>
      </c>
      <c r="F24" s="630" t="s">
        <v>114</v>
      </c>
      <c r="G24" s="630">
        <v>0</v>
      </c>
      <c r="H24" s="630">
        <v>33</v>
      </c>
      <c r="I24" s="630">
        <v>190</v>
      </c>
      <c r="J24" s="630">
        <v>5</v>
      </c>
      <c r="K24" s="630">
        <v>228</v>
      </c>
      <c r="L24" s="630">
        <v>192.5</v>
      </c>
      <c r="M24" s="642">
        <v>433.13</v>
      </c>
    </row>
    <row r="25" spans="1:13" ht="15" customHeight="1">
      <c r="A25" s="639">
        <v>11110</v>
      </c>
      <c r="B25" s="627" t="s">
        <v>117</v>
      </c>
      <c r="C25" s="627" t="s">
        <v>135</v>
      </c>
      <c r="D25" s="627" t="s">
        <v>136</v>
      </c>
      <c r="E25" s="628">
        <v>2.8</v>
      </c>
      <c r="F25" s="628" t="s">
        <v>119</v>
      </c>
      <c r="G25" s="628">
        <v>0</v>
      </c>
      <c r="H25" s="628">
        <v>2</v>
      </c>
      <c r="I25" s="628">
        <v>23</v>
      </c>
      <c r="J25" s="628">
        <v>0</v>
      </c>
      <c r="K25" s="628">
        <v>25</v>
      </c>
      <c r="L25" s="628">
        <v>23</v>
      </c>
      <c r="M25" s="640">
        <v>64.4</v>
      </c>
    </row>
    <row r="26" spans="1:13" ht="15" customHeight="1">
      <c r="A26" s="641">
        <v>11110</v>
      </c>
      <c r="B26" s="629" t="s">
        <v>117</v>
      </c>
      <c r="C26" s="629" t="s">
        <v>135</v>
      </c>
      <c r="D26" s="629" t="s">
        <v>136</v>
      </c>
      <c r="E26" s="630">
        <v>2.8</v>
      </c>
      <c r="F26" s="630" t="s">
        <v>122</v>
      </c>
      <c r="G26" s="630">
        <v>0</v>
      </c>
      <c r="H26" s="630">
        <v>35</v>
      </c>
      <c r="I26" s="630">
        <v>34</v>
      </c>
      <c r="J26" s="630">
        <v>0</v>
      </c>
      <c r="K26" s="630">
        <v>69</v>
      </c>
      <c r="L26" s="630">
        <v>34</v>
      </c>
      <c r="M26" s="642">
        <v>95.2</v>
      </c>
    </row>
    <row r="27" spans="1:13" ht="15" customHeight="1">
      <c r="A27" s="639">
        <v>11110</v>
      </c>
      <c r="B27" s="627" t="s">
        <v>117</v>
      </c>
      <c r="C27" s="627" t="s">
        <v>75</v>
      </c>
      <c r="D27" s="627" t="s">
        <v>76</v>
      </c>
      <c r="E27" s="628">
        <v>2.8</v>
      </c>
      <c r="F27" s="628" t="s">
        <v>122</v>
      </c>
      <c r="G27" s="628">
        <v>0</v>
      </c>
      <c r="H27" s="628">
        <v>2</v>
      </c>
      <c r="I27" s="628">
        <v>1</v>
      </c>
      <c r="J27" s="628">
        <v>0</v>
      </c>
      <c r="K27" s="628">
        <v>3</v>
      </c>
      <c r="L27" s="628">
        <v>1</v>
      </c>
      <c r="M27" s="640">
        <v>2.8</v>
      </c>
    </row>
    <row r="28" spans="1:13" ht="15" customHeight="1">
      <c r="A28" s="641">
        <v>11110</v>
      </c>
      <c r="B28" s="629" t="s">
        <v>117</v>
      </c>
      <c r="C28" s="629" t="s">
        <v>137</v>
      </c>
      <c r="D28" s="629" t="s">
        <v>138</v>
      </c>
      <c r="E28" s="630">
        <v>2.25</v>
      </c>
      <c r="F28" s="630" t="s">
        <v>119</v>
      </c>
      <c r="G28" s="630">
        <v>0</v>
      </c>
      <c r="H28" s="630">
        <v>0</v>
      </c>
      <c r="I28" s="630">
        <v>3</v>
      </c>
      <c r="J28" s="630">
        <v>0</v>
      </c>
      <c r="K28" s="630">
        <v>3</v>
      </c>
      <c r="L28" s="630">
        <v>3</v>
      </c>
      <c r="M28" s="642">
        <v>6.75</v>
      </c>
    </row>
    <row r="29" spans="1:13" ht="15" customHeight="1">
      <c r="A29" s="639">
        <v>11110</v>
      </c>
      <c r="B29" s="627" t="s">
        <v>117</v>
      </c>
      <c r="C29" s="627" t="s">
        <v>137</v>
      </c>
      <c r="D29" s="627" t="s">
        <v>138</v>
      </c>
      <c r="E29" s="628">
        <v>2.25</v>
      </c>
      <c r="F29" s="628" t="s">
        <v>122</v>
      </c>
      <c r="G29" s="628">
        <v>0</v>
      </c>
      <c r="H29" s="628">
        <v>12</v>
      </c>
      <c r="I29" s="628">
        <v>14</v>
      </c>
      <c r="J29" s="628">
        <v>1</v>
      </c>
      <c r="K29" s="628">
        <v>27</v>
      </c>
      <c r="L29" s="628">
        <v>14.5</v>
      </c>
      <c r="M29" s="640">
        <v>32.63</v>
      </c>
    </row>
    <row r="30" spans="1:13" ht="15" customHeight="1">
      <c r="A30" s="641">
        <v>11110</v>
      </c>
      <c r="B30" s="629" t="s">
        <v>117</v>
      </c>
      <c r="C30" s="629" t="s">
        <v>139</v>
      </c>
      <c r="D30" s="629" t="s">
        <v>140</v>
      </c>
      <c r="E30" s="630">
        <v>2.25</v>
      </c>
      <c r="F30" s="630" t="s">
        <v>119</v>
      </c>
      <c r="G30" s="630">
        <v>0</v>
      </c>
      <c r="H30" s="630">
        <v>0</v>
      </c>
      <c r="I30" s="630">
        <v>4</v>
      </c>
      <c r="J30" s="630">
        <v>0</v>
      </c>
      <c r="K30" s="630">
        <v>4</v>
      </c>
      <c r="L30" s="630">
        <v>4</v>
      </c>
      <c r="M30" s="642">
        <v>9</v>
      </c>
    </row>
    <row r="31" spans="1:13" ht="15" customHeight="1">
      <c r="A31" s="639">
        <v>11110</v>
      </c>
      <c r="B31" s="627" t="s">
        <v>117</v>
      </c>
      <c r="C31" s="627" t="s">
        <v>139</v>
      </c>
      <c r="D31" s="627" t="s">
        <v>140</v>
      </c>
      <c r="E31" s="628">
        <v>2.25</v>
      </c>
      <c r="F31" s="628" t="s">
        <v>122</v>
      </c>
      <c r="G31" s="628">
        <v>0</v>
      </c>
      <c r="H31" s="628">
        <v>1</v>
      </c>
      <c r="I31" s="628">
        <v>6</v>
      </c>
      <c r="J31" s="628">
        <v>1</v>
      </c>
      <c r="K31" s="628">
        <v>8</v>
      </c>
      <c r="L31" s="628">
        <v>6.5</v>
      </c>
      <c r="M31" s="640">
        <v>14.63</v>
      </c>
    </row>
    <row r="32" spans="1:13" ht="15" customHeight="1">
      <c r="A32" s="641">
        <v>11110</v>
      </c>
      <c r="B32" s="629" t="s">
        <v>117</v>
      </c>
      <c r="C32" s="629" t="s">
        <v>77</v>
      </c>
      <c r="D32" s="629" t="s">
        <v>78</v>
      </c>
      <c r="E32" s="630">
        <v>2.25</v>
      </c>
      <c r="F32" s="630" t="s">
        <v>119</v>
      </c>
      <c r="G32" s="630">
        <v>0</v>
      </c>
      <c r="H32" s="630">
        <v>0</v>
      </c>
      <c r="I32" s="630">
        <v>9</v>
      </c>
      <c r="J32" s="630">
        <v>0</v>
      </c>
      <c r="K32" s="630">
        <v>9</v>
      </c>
      <c r="L32" s="630">
        <v>9</v>
      </c>
      <c r="M32" s="642">
        <v>20.25</v>
      </c>
    </row>
    <row r="33" spans="1:13" ht="15" customHeight="1">
      <c r="A33" s="639">
        <v>11110</v>
      </c>
      <c r="B33" s="627" t="s">
        <v>117</v>
      </c>
      <c r="C33" s="627" t="s">
        <v>77</v>
      </c>
      <c r="D33" s="627" t="s">
        <v>78</v>
      </c>
      <c r="E33" s="628">
        <v>2.25</v>
      </c>
      <c r="F33" s="628" t="s">
        <v>122</v>
      </c>
      <c r="G33" s="628">
        <v>0</v>
      </c>
      <c r="H33" s="628">
        <v>25</v>
      </c>
      <c r="I33" s="628">
        <v>24</v>
      </c>
      <c r="J33" s="628">
        <v>0</v>
      </c>
      <c r="K33" s="628">
        <v>49</v>
      </c>
      <c r="L33" s="628">
        <v>24</v>
      </c>
      <c r="M33" s="640">
        <v>54</v>
      </c>
    </row>
    <row r="34" spans="1:13" ht="15" customHeight="1">
      <c r="A34" s="641">
        <v>11110</v>
      </c>
      <c r="B34" s="629" t="s">
        <v>117</v>
      </c>
      <c r="C34" s="629" t="s">
        <v>141</v>
      </c>
      <c r="D34" s="629" t="s">
        <v>142</v>
      </c>
      <c r="E34" s="630">
        <v>2.25</v>
      </c>
      <c r="F34" s="630" t="s">
        <v>122</v>
      </c>
      <c r="G34" s="630">
        <v>0</v>
      </c>
      <c r="H34" s="630">
        <v>1</v>
      </c>
      <c r="I34" s="630">
        <v>1</v>
      </c>
      <c r="J34" s="630">
        <v>0</v>
      </c>
      <c r="K34" s="630">
        <v>2</v>
      </c>
      <c r="L34" s="630">
        <v>1</v>
      </c>
      <c r="M34" s="642">
        <v>2.25</v>
      </c>
    </row>
    <row r="35" spans="1:13" ht="15" customHeight="1">
      <c r="A35" s="639">
        <v>11110</v>
      </c>
      <c r="B35" s="627" t="s">
        <v>117</v>
      </c>
      <c r="C35" s="627" t="s">
        <v>143</v>
      </c>
      <c r="D35" s="627" t="s">
        <v>144</v>
      </c>
      <c r="E35" s="628">
        <v>2.25</v>
      </c>
      <c r="F35" s="628" t="s">
        <v>119</v>
      </c>
      <c r="G35" s="628">
        <v>0</v>
      </c>
      <c r="H35" s="628">
        <v>0</v>
      </c>
      <c r="I35" s="628">
        <v>1</v>
      </c>
      <c r="J35" s="628">
        <v>0</v>
      </c>
      <c r="K35" s="628">
        <v>1</v>
      </c>
      <c r="L35" s="628">
        <v>1</v>
      </c>
      <c r="M35" s="640">
        <v>2.25</v>
      </c>
    </row>
    <row r="36" spans="1:13" ht="15" customHeight="1">
      <c r="A36" s="641">
        <v>11110</v>
      </c>
      <c r="B36" s="629" t="s">
        <v>117</v>
      </c>
      <c r="C36" s="629" t="s">
        <v>143</v>
      </c>
      <c r="D36" s="629" t="s">
        <v>144</v>
      </c>
      <c r="E36" s="630">
        <v>2.25</v>
      </c>
      <c r="F36" s="630" t="s">
        <v>122</v>
      </c>
      <c r="G36" s="630">
        <v>0</v>
      </c>
      <c r="H36" s="630">
        <v>3</v>
      </c>
      <c r="I36" s="630">
        <v>2</v>
      </c>
      <c r="J36" s="630">
        <v>0</v>
      </c>
      <c r="K36" s="630">
        <v>5</v>
      </c>
      <c r="L36" s="630">
        <v>2</v>
      </c>
      <c r="M36" s="642">
        <v>4.5</v>
      </c>
    </row>
    <row r="37" spans="1:13" ht="15" customHeight="1">
      <c r="A37" s="639">
        <v>11110</v>
      </c>
      <c r="B37" s="627" t="s">
        <v>117</v>
      </c>
      <c r="C37" s="627" t="s">
        <v>145</v>
      </c>
      <c r="D37" s="627" t="s">
        <v>146</v>
      </c>
      <c r="E37" s="628">
        <v>1.65</v>
      </c>
      <c r="F37" s="628" t="s">
        <v>119</v>
      </c>
      <c r="G37" s="628">
        <v>0</v>
      </c>
      <c r="H37" s="628">
        <v>0</v>
      </c>
      <c r="I37" s="628">
        <v>5</v>
      </c>
      <c r="J37" s="628">
        <v>0</v>
      </c>
      <c r="K37" s="628">
        <v>5</v>
      </c>
      <c r="L37" s="628">
        <v>5</v>
      </c>
      <c r="M37" s="640">
        <v>8.25</v>
      </c>
    </row>
    <row r="38" spans="1:13" ht="15" customHeight="1">
      <c r="A38" s="641">
        <v>11110</v>
      </c>
      <c r="B38" s="629" t="s">
        <v>117</v>
      </c>
      <c r="C38" s="629" t="s">
        <v>145</v>
      </c>
      <c r="D38" s="629" t="s">
        <v>146</v>
      </c>
      <c r="E38" s="630">
        <v>1.65</v>
      </c>
      <c r="F38" s="630" t="s">
        <v>122</v>
      </c>
      <c r="G38" s="630">
        <v>0</v>
      </c>
      <c r="H38" s="630">
        <v>14</v>
      </c>
      <c r="I38" s="630">
        <v>4</v>
      </c>
      <c r="J38" s="630">
        <v>1</v>
      </c>
      <c r="K38" s="630">
        <v>19</v>
      </c>
      <c r="L38" s="630">
        <v>4.5</v>
      </c>
      <c r="M38" s="642">
        <v>7.43</v>
      </c>
    </row>
    <row r="39" spans="1:13" ht="15" customHeight="1">
      <c r="A39" s="639">
        <v>11110</v>
      </c>
      <c r="B39" s="627" t="s">
        <v>117</v>
      </c>
      <c r="C39" s="627" t="s">
        <v>13</v>
      </c>
      <c r="D39" s="627" t="s">
        <v>14</v>
      </c>
      <c r="E39" s="628">
        <v>2.8</v>
      </c>
      <c r="F39" s="628" t="s">
        <v>119</v>
      </c>
      <c r="G39" s="628">
        <v>0</v>
      </c>
      <c r="H39" s="628">
        <v>5</v>
      </c>
      <c r="I39" s="628">
        <v>13</v>
      </c>
      <c r="J39" s="628">
        <v>0</v>
      </c>
      <c r="K39" s="628">
        <v>18</v>
      </c>
      <c r="L39" s="628">
        <v>13</v>
      </c>
      <c r="M39" s="640">
        <v>36.4</v>
      </c>
    </row>
    <row r="40" spans="1:13" ht="15" customHeight="1">
      <c r="A40" s="641">
        <v>11110</v>
      </c>
      <c r="B40" s="629" t="s">
        <v>117</v>
      </c>
      <c r="C40" s="629" t="s">
        <v>13</v>
      </c>
      <c r="D40" s="629" t="s">
        <v>14</v>
      </c>
      <c r="E40" s="630">
        <v>2.8</v>
      </c>
      <c r="F40" s="630" t="s">
        <v>122</v>
      </c>
      <c r="G40" s="630">
        <v>0</v>
      </c>
      <c r="H40" s="630">
        <v>58</v>
      </c>
      <c r="I40" s="630">
        <v>59</v>
      </c>
      <c r="J40" s="630">
        <v>0</v>
      </c>
      <c r="K40" s="630">
        <v>117</v>
      </c>
      <c r="L40" s="630">
        <v>59</v>
      </c>
      <c r="M40" s="642">
        <v>165.2</v>
      </c>
    </row>
    <row r="41" spans="1:13" ht="15" customHeight="1">
      <c r="A41" s="639">
        <v>11110</v>
      </c>
      <c r="B41" s="627" t="s">
        <v>117</v>
      </c>
      <c r="C41" s="627" t="s">
        <v>15</v>
      </c>
      <c r="D41" s="627" t="s">
        <v>16</v>
      </c>
      <c r="E41" s="628">
        <v>2.25</v>
      </c>
      <c r="F41" s="628" t="s">
        <v>119</v>
      </c>
      <c r="G41" s="628">
        <v>0</v>
      </c>
      <c r="H41" s="628">
        <v>5</v>
      </c>
      <c r="I41" s="628">
        <v>16</v>
      </c>
      <c r="J41" s="628">
        <v>0</v>
      </c>
      <c r="K41" s="628">
        <v>21</v>
      </c>
      <c r="L41" s="628">
        <v>16</v>
      </c>
      <c r="M41" s="640">
        <v>36</v>
      </c>
    </row>
    <row r="42" spans="1:13" ht="15" customHeight="1">
      <c r="A42" s="641">
        <v>11110</v>
      </c>
      <c r="B42" s="629" t="s">
        <v>117</v>
      </c>
      <c r="C42" s="629" t="s">
        <v>15</v>
      </c>
      <c r="D42" s="629" t="s">
        <v>16</v>
      </c>
      <c r="E42" s="630">
        <v>2.25</v>
      </c>
      <c r="F42" s="630" t="s">
        <v>122</v>
      </c>
      <c r="G42" s="630">
        <v>0</v>
      </c>
      <c r="H42" s="630">
        <v>80</v>
      </c>
      <c r="I42" s="630">
        <v>73</v>
      </c>
      <c r="J42" s="630">
        <v>2</v>
      </c>
      <c r="K42" s="630">
        <v>155</v>
      </c>
      <c r="L42" s="630">
        <v>74</v>
      </c>
      <c r="M42" s="642">
        <v>166.5</v>
      </c>
    </row>
    <row r="43" spans="1:13" ht="15" customHeight="1">
      <c r="A43" s="639">
        <v>11110</v>
      </c>
      <c r="B43" s="627" t="s">
        <v>117</v>
      </c>
      <c r="C43" s="627" t="s">
        <v>147</v>
      </c>
      <c r="D43" s="627" t="s">
        <v>148</v>
      </c>
      <c r="E43" s="628">
        <v>2.8</v>
      </c>
      <c r="F43" s="628" t="s">
        <v>122</v>
      </c>
      <c r="G43" s="628">
        <v>0</v>
      </c>
      <c r="H43" s="628">
        <v>1</v>
      </c>
      <c r="I43" s="628">
        <v>0</v>
      </c>
      <c r="J43" s="628">
        <v>0</v>
      </c>
      <c r="K43" s="628">
        <v>1</v>
      </c>
      <c r="L43" s="628">
        <v>0</v>
      </c>
      <c r="M43" s="640">
        <v>0</v>
      </c>
    </row>
    <row r="44" spans="1:13" ht="15" customHeight="1">
      <c r="A44" s="641">
        <v>11110</v>
      </c>
      <c r="B44" s="629" t="s">
        <v>117</v>
      </c>
      <c r="C44" s="629" t="s">
        <v>149</v>
      </c>
      <c r="D44" s="629" t="s">
        <v>150</v>
      </c>
      <c r="E44" s="630">
        <v>2.8</v>
      </c>
      <c r="F44" s="630" t="s">
        <v>119</v>
      </c>
      <c r="G44" s="630">
        <v>0</v>
      </c>
      <c r="H44" s="630">
        <v>2</v>
      </c>
      <c r="I44" s="630">
        <v>7</v>
      </c>
      <c r="J44" s="630">
        <v>0</v>
      </c>
      <c r="K44" s="630">
        <v>9</v>
      </c>
      <c r="L44" s="630">
        <v>7</v>
      </c>
      <c r="M44" s="642">
        <v>19.6</v>
      </c>
    </row>
    <row r="45" spans="1:13" ht="15" customHeight="1">
      <c r="A45" s="639">
        <v>11110</v>
      </c>
      <c r="B45" s="627" t="s">
        <v>117</v>
      </c>
      <c r="C45" s="627" t="s">
        <v>149</v>
      </c>
      <c r="D45" s="627" t="s">
        <v>150</v>
      </c>
      <c r="E45" s="628">
        <v>2.8</v>
      </c>
      <c r="F45" s="628" t="s">
        <v>122</v>
      </c>
      <c r="G45" s="628">
        <v>0</v>
      </c>
      <c r="H45" s="628">
        <v>17</v>
      </c>
      <c r="I45" s="628">
        <v>39</v>
      </c>
      <c r="J45" s="628">
        <v>0</v>
      </c>
      <c r="K45" s="628">
        <v>56</v>
      </c>
      <c r="L45" s="628">
        <v>39</v>
      </c>
      <c r="M45" s="640">
        <v>109.2</v>
      </c>
    </row>
    <row r="46" spans="1:13" ht="15" customHeight="1">
      <c r="A46" s="641">
        <v>11110</v>
      </c>
      <c r="B46" s="629" t="s">
        <v>117</v>
      </c>
      <c r="C46" s="629" t="s">
        <v>151</v>
      </c>
      <c r="D46" s="629" t="s">
        <v>152</v>
      </c>
      <c r="E46" s="630">
        <v>2.8</v>
      </c>
      <c r="F46" s="630" t="s">
        <v>119</v>
      </c>
      <c r="G46" s="630">
        <v>0</v>
      </c>
      <c r="H46" s="630">
        <v>2</v>
      </c>
      <c r="I46" s="630">
        <v>12</v>
      </c>
      <c r="J46" s="630">
        <v>0</v>
      </c>
      <c r="K46" s="630">
        <v>14</v>
      </c>
      <c r="L46" s="630">
        <v>12</v>
      </c>
      <c r="M46" s="642">
        <v>33.6</v>
      </c>
    </row>
    <row r="47" spans="1:13" ht="15" customHeight="1">
      <c r="A47" s="639">
        <v>11110</v>
      </c>
      <c r="B47" s="627" t="s">
        <v>117</v>
      </c>
      <c r="C47" s="627" t="s">
        <v>151</v>
      </c>
      <c r="D47" s="627" t="s">
        <v>152</v>
      </c>
      <c r="E47" s="628">
        <v>2.8</v>
      </c>
      <c r="F47" s="628" t="s">
        <v>122</v>
      </c>
      <c r="G47" s="628">
        <v>0</v>
      </c>
      <c r="H47" s="628">
        <v>18</v>
      </c>
      <c r="I47" s="628">
        <v>35</v>
      </c>
      <c r="J47" s="628">
        <v>0</v>
      </c>
      <c r="K47" s="628">
        <v>53</v>
      </c>
      <c r="L47" s="628">
        <v>35</v>
      </c>
      <c r="M47" s="640">
        <v>98</v>
      </c>
    </row>
    <row r="48" spans="1:13" ht="15" customHeight="1">
      <c r="A48" s="641">
        <v>11110</v>
      </c>
      <c r="B48" s="629" t="s">
        <v>117</v>
      </c>
      <c r="C48" s="629" t="s">
        <v>153</v>
      </c>
      <c r="D48" s="629" t="s">
        <v>154</v>
      </c>
      <c r="E48" s="630">
        <v>2.8</v>
      </c>
      <c r="F48" s="630" t="s">
        <v>119</v>
      </c>
      <c r="G48" s="630">
        <v>0</v>
      </c>
      <c r="H48" s="630">
        <v>1</v>
      </c>
      <c r="I48" s="630">
        <v>2</v>
      </c>
      <c r="J48" s="630">
        <v>0</v>
      </c>
      <c r="K48" s="630">
        <v>3</v>
      </c>
      <c r="L48" s="630">
        <v>2</v>
      </c>
      <c r="M48" s="642">
        <v>5.6</v>
      </c>
    </row>
    <row r="49" spans="1:13" ht="15" customHeight="1">
      <c r="A49" s="639">
        <v>11110</v>
      </c>
      <c r="B49" s="627" t="s">
        <v>117</v>
      </c>
      <c r="C49" s="627" t="s">
        <v>153</v>
      </c>
      <c r="D49" s="627" t="s">
        <v>154</v>
      </c>
      <c r="E49" s="628">
        <v>2.8</v>
      </c>
      <c r="F49" s="628" t="s">
        <v>122</v>
      </c>
      <c r="G49" s="628">
        <v>0</v>
      </c>
      <c r="H49" s="628">
        <v>12</v>
      </c>
      <c r="I49" s="628">
        <v>4</v>
      </c>
      <c r="J49" s="628">
        <v>0</v>
      </c>
      <c r="K49" s="628">
        <v>16</v>
      </c>
      <c r="L49" s="628">
        <v>4</v>
      </c>
      <c r="M49" s="640">
        <v>11.2</v>
      </c>
    </row>
    <row r="50" spans="1:13" ht="15" customHeight="1">
      <c r="A50" s="641">
        <v>11110</v>
      </c>
      <c r="B50" s="629" t="s">
        <v>117</v>
      </c>
      <c r="C50" s="629" t="s">
        <v>155</v>
      </c>
      <c r="D50" s="629" t="s">
        <v>156</v>
      </c>
      <c r="E50" s="630">
        <v>1</v>
      </c>
      <c r="F50" s="630" t="s">
        <v>119</v>
      </c>
      <c r="G50" s="630">
        <v>0</v>
      </c>
      <c r="H50" s="630">
        <v>0</v>
      </c>
      <c r="I50" s="630">
        <v>1</v>
      </c>
      <c r="J50" s="630">
        <v>0</v>
      </c>
      <c r="K50" s="630">
        <v>1</v>
      </c>
      <c r="L50" s="630">
        <v>1</v>
      </c>
      <c r="M50" s="642">
        <v>1</v>
      </c>
    </row>
    <row r="51" spans="1:13" ht="15" customHeight="1">
      <c r="A51" s="639">
        <v>11110</v>
      </c>
      <c r="B51" s="627" t="s">
        <v>117</v>
      </c>
      <c r="C51" s="627" t="s">
        <v>155</v>
      </c>
      <c r="D51" s="627" t="s">
        <v>156</v>
      </c>
      <c r="E51" s="628">
        <v>1</v>
      </c>
      <c r="F51" s="628" t="s">
        <v>122</v>
      </c>
      <c r="G51" s="628">
        <v>0</v>
      </c>
      <c r="H51" s="628">
        <v>6</v>
      </c>
      <c r="I51" s="628">
        <v>5</v>
      </c>
      <c r="J51" s="628">
        <v>0</v>
      </c>
      <c r="K51" s="628">
        <v>11</v>
      </c>
      <c r="L51" s="628">
        <v>5</v>
      </c>
      <c r="M51" s="640">
        <v>5</v>
      </c>
    </row>
    <row r="52" spans="1:13" ht="15" customHeight="1">
      <c r="A52" s="641">
        <v>11110</v>
      </c>
      <c r="B52" s="629" t="s">
        <v>117</v>
      </c>
      <c r="C52" s="629" t="s">
        <v>157</v>
      </c>
      <c r="D52" s="629" t="s">
        <v>158</v>
      </c>
      <c r="E52" s="630">
        <v>2.8</v>
      </c>
      <c r="F52" s="630" t="s">
        <v>119</v>
      </c>
      <c r="G52" s="630">
        <v>0</v>
      </c>
      <c r="H52" s="630">
        <v>0</v>
      </c>
      <c r="I52" s="630">
        <v>5</v>
      </c>
      <c r="J52" s="630">
        <v>0</v>
      </c>
      <c r="K52" s="630">
        <v>5</v>
      </c>
      <c r="L52" s="630">
        <v>5</v>
      </c>
      <c r="M52" s="642">
        <v>14</v>
      </c>
    </row>
    <row r="53" spans="1:13" ht="15" customHeight="1">
      <c r="A53" s="639">
        <v>11110</v>
      </c>
      <c r="B53" s="627" t="s">
        <v>117</v>
      </c>
      <c r="C53" s="627" t="s">
        <v>157</v>
      </c>
      <c r="D53" s="627" t="s">
        <v>158</v>
      </c>
      <c r="E53" s="628">
        <v>2.8</v>
      </c>
      <c r="F53" s="628" t="s">
        <v>122</v>
      </c>
      <c r="G53" s="628">
        <v>0</v>
      </c>
      <c r="H53" s="628">
        <v>12</v>
      </c>
      <c r="I53" s="628">
        <v>18</v>
      </c>
      <c r="J53" s="628">
        <v>0</v>
      </c>
      <c r="K53" s="628">
        <v>30</v>
      </c>
      <c r="L53" s="628">
        <v>18</v>
      </c>
      <c r="M53" s="640">
        <v>50.4</v>
      </c>
    </row>
    <row r="54" spans="1:13" ht="15" customHeight="1">
      <c r="A54" s="641">
        <v>11110</v>
      </c>
      <c r="B54" s="629" t="s">
        <v>117</v>
      </c>
      <c r="C54" s="629" t="s">
        <v>159</v>
      </c>
      <c r="D54" s="629" t="s">
        <v>160</v>
      </c>
      <c r="E54" s="630">
        <v>1</v>
      </c>
      <c r="F54" s="630" t="s">
        <v>119</v>
      </c>
      <c r="G54" s="630">
        <v>0</v>
      </c>
      <c r="H54" s="630">
        <v>0</v>
      </c>
      <c r="I54" s="630">
        <v>1</v>
      </c>
      <c r="J54" s="630">
        <v>0</v>
      </c>
      <c r="K54" s="630">
        <v>1</v>
      </c>
      <c r="L54" s="630">
        <v>1</v>
      </c>
      <c r="M54" s="642">
        <v>1</v>
      </c>
    </row>
    <row r="55" spans="1:13" ht="15" customHeight="1">
      <c r="A55" s="639">
        <v>11110</v>
      </c>
      <c r="B55" s="627" t="s">
        <v>117</v>
      </c>
      <c r="C55" s="627" t="s">
        <v>159</v>
      </c>
      <c r="D55" s="627" t="s">
        <v>160</v>
      </c>
      <c r="E55" s="628">
        <v>1</v>
      </c>
      <c r="F55" s="628" t="s">
        <v>122</v>
      </c>
      <c r="G55" s="628">
        <v>0</v>
      </c>
      <c r="H55" s="628">
        <v>5</v>
      </c>
      <c r="I55" s="628">
        <v>6</v>
      </c>
      <c r="J55" s="628">
        <v>0</v>
      </c>
      <c r="K55" s="628">
        <v>11</v>
      </c>
      <c r="L55" s="628">
        <v>6</v>
      </c>
      <c r="M55" s="640">
        <v>6</v>
      </c>
    </row>
    <row r="56" spans="1:13" ht="15" customHeight="1">
      <c r="A56" s="641">
        <v>11110</v>
      </c>
      <c r="B56" s="629" t="s">
        <v>117</v>
      </c>
      <c r="C56" s="629" t="s">
        <v>161</v>
      </c>
      <c r="D56" s="629" t="s">
        <v>162</v>
      </c>
      <c r="E56" s="630">
        <v>2.25</v>
      </c>
      <c r="F56" s="630" t="s">
        <v>119</v>
      </c>
      <c r="G56" s="630">
        <v>0</v>
      </c>
      <c r="H56" s="630">
        <v>0</v>
      </c>
      <c r="I56" s="630">
        <v>9</v>
      </c>
      <c r="J56" s="630">
        <v>0</v>
      </c>
      <c r="K56" s="630">
        <v>9</v>
      </c>
      <c r="L56" s="630">
        <v>9</v>
      </c>
      <c r="M56" s="642">
        <v>20.25</v>
      </c>
    </row>
    <row r="57" spans="1:13" ht="15" customHeight="1">
      <c r="A57" s="639">
        <v>11110</v>
      </c>
      <c r="B57" s="627" t="s">
        <v>117</v>
      </c>
      <c r="C57" s="627" t="s">
        <v>161</v>
      </c>
      <c r="D57" s="627" t="s">
        <v>162</v>
      </c>
      <c r="E57" s="628">
        <v>2.25</v>
      </c>
      <c r="F57" s="628" t="s">
        <v>122</v>
      </c>
      <c r="G57" s="628">
        <v>0</v>
      </c>
      <c r="H57" s="628">
        <v>6</v>
      </c>
      <c r="I57" s="628">
        <v>2</v>
      </c>
      <c r="J57" s="628">
        <v>1</v>
      </c>
      <c r="K57" s="628">
        <v>9</v>
      </c>
      <c r="L57" s="628">
        <v>2.5</v>
      </c>
      <c r="M57" s="640">
        <v>5.63</v>
      </c>
    </row>
    <row r="58" spans="1:13" ht="15" customHeight="1">
      <c r="A58" s="641">
        <v>11110</v>
      </c>
      <c r="B58" s="629" t="s">
        <v>117</v>
      </c>
      <c r="C58" s="629" t="s">
        <v>17</v>
      </c>
      <c r="D58" s="629" t="s">
        <v>18</v>
      </c>
      <c r="E58" s="630">
        <v>2.25</v>
      </c>
      <c r="F58" s="630" t="s">
        <v>119</v>
      </c>
      <c r="G58" s="630">
        <v>0</v>
      </c>
      <c r="H58" s="630">
        <v>0</v>
      </c>
      <c r="I58" s="630">
        <v>3</v>
      </c>
      <c r="J58" s="630">
        <v>0</v>
      </c>
      <c r="K58" s="630">
        <v>3</v>
      </c>
      <c r="L58" s="630">
        <v>3</v>
      </c>
      <c r="M58" s="642">
        <v>6.75</v>
      </c>
    </row>
    <row r="59" spans="1:13" ht="15" customHeight="1">
      <c r="A59" s="639">
        <v>11110</v>
      </c>
      <c r="B59" s="627" t="s">
        <v>117</v>
      </c>
      <c r="C59" s="627" t="s">
        <v>17</v>
      </c>
      <c r="D59" s="627" t="s">
        <v>18</v>
      </c>
      <c r="E59" s="628">
        <v>2.25</v>
      </c>
      <c r="F59" s="628" t="s">
        <v>122</v>
      </c>
      <c r="G59" s="628">
        <v>0</v>
      </c>
      <c r="H59" s="628">
        <v>6</v>
      </c>
      <c r="I59" s="628">
        <v>16</v>
      </c>
      <c r="J59" s="628">
        <v>0</v>
      </c>
      <c r="K59" s="628">
        <v>22</v>
      </c>
      <c r="L59" s="628">
        <v>16</v>
      </c>
      <c r="M59" s="640">
        <v>36</v>
      </c>
    </row>
    <row r="60" spans="1:13" ht="15" customHeight="1">
      <c r="A60" s="641">
        <v>11110</v>
      </c>
      <c r="B60" s="629" t="s">
        <v>117</v>
      </c>
      <c r="C60" s="629" t="s">
        <v>19</v>
      </c>
      <c r="D60" s="629" t="s">
        <v>20</v>
      </c>
      <c r="E60" s="630">
        <v>1</v>
      </c>
      <c r="F60" s="630" t="s">
        <v>119</v>
      </c>
      <c r="G60" s="630">
        <v>0</v>
      </c>
      <c r="H60" s="630">
        <v>0</v>
      </c>
      <c r="I60" s="630">
        <v>10</v>
      </c>
      <c r="J60" s="630">
        <v>0</v>
      </c>
      <c r="K60" s="630">
        <v>10</v>
      </c>
      <c r="L60" s="630">
        <v>10</v>
      </c>
      <c r="M60" s="642">
        <v>10</v>
      </c>
    </row>
    <row r="61" spans="1:13" ht="15" customHeight="1">
      <c r="A61" s="639">
        <v>11110</v>
      </c>
      <c r="B61" s="627" t="s">
        <v>117</v>
      </c>
      <c r="C61" s="627" t="s">
        <v>19</v>
      </c>
      <c r="D61" s="627" t="s">
        <v>20</v>
      </c>
      <c r="E61" s="628">
        <v>1</v>
      </c>
      <c r="F61" s="628" t="s">
        <v>122</v>
      </c>
      <c r="G61" s="628">
        <v>0</v>
      </c>
      <c r="H61" s="628">
        <v>31</v>
      </c>
      <c r="I61" s="628">
        <v>47</v>
      </c>
      <c r="J61" s="628">
        <v>0</v>
      </c>
      <c r="K61" s="628">
        <v>78</v>
      </c>
      <c r="L61" s="628">
        <v>47</v>
      </c>
      <c r="M61" s="640">
        <v>47</v>
      </c>
    </row>
    <row r="62" spans="1:13" ht="15" customHeight="1">
      <c r="A62" s="643">
        <v>11110</v>
      </c>
      <c r="B62" s="631" t="s">
        <v>163</v>
      </c>
      <c r="C62" s="631"/>
      <c r="D62" s="631"/>
      <c r="E62" s="631"/>
      <c r="F62" s="632" t="s">
        <v>132</v>
      </c>
      <c r="G62" s="632">
        <v>91</v>
      </c>
      <c r="H62" s="632">
        <v>10</v>
      </c>
      <c r="I62" s="632">
        <v>81</v>
      </c>
      <c r="J62" s="632">
        <v>1</v>
      </c>
      <c r="K62" s="632">
        <v>183</v>
      </c>
      <c r="L62" s="632"/>
      <c r="M62" s="644"/>
    </row>
    <row r="63" spans="1:13" ht="15" customHeight="1">
      <c r="A63" s="643">
        <v>11110</v>
      </c>
      <c r="B63" s="631" t="s">
        <v>163</v>
      </c>
      <c r="C63" s="631"/>
      <c r="D63" s="631"/>
      <c r="E63" s="631"/>
      <c r="F63" s="632" t="s">
        <v>109</v>
      </c>
      <c r="G63" s="632">
        <v>0</v>
      </c>
      <c r="H63" s="632">
        <v>70</v>
      </c>
      <c r="I63" s="632">
        <v>283</v>
      </c>
      <c r="J63" s="632">
        <v>11</v>
      </c>
      <c r="K63" s="632">
        <v>364</v>
      </c>
      <c r="L63" s="632"/>
      <c r="M63" s="644"/>
    </row>
    <row r="64" spans="1:13" ht="15" customHeight="1">
      <c r="A64" s="643">
        <v>11110</v>
      </c>
      <c r="B64" s="631" t="s">
        <v>163</v>
      </c>
      <c r="C64" s="631"/>
      <c r="D64" s="631"/>
      <c r="E64" s="631"/>
      <c r="F64" s="632" t="s">
        <v>110</v>
      </c>
      <c r="G64" s="632">
        <v>364</v>
      </c>
      <c r="H64" s="632">
        <v>1</v>
      </c>
      <c r="I64" s="632">
        <v>89</v>
      </c>
      <c r="J64" s="632">
        <v>0</v>
      </c>
      <c r="K64" s="632">
        <v>454</v>
      </c>
      <c r="L64" s="632"/>
      <c r="M64" s="644"/>
    </row>
    <row r="65" spans="1:13" ht="15" customHeight="1">
      <c r="A65" s="643">
        <v>11110</v>
      </c>
      <c r="B65" s="631" t="s">
        <v>163</v>
      </c>
      <c r="C65" s="631"/>
      <c r="D65" s="631"/>
      <c r="E65" s="631"/>
      <c r="F65" s="632" t="s">
        <v>113</v>
      </c>
      <c r="G65" s="632">
        <v>0</v>
      </c>
      <c r="H65" s="632">
        <v>94</v>
      </c>
      <c r="I65" s="632">
        <v>1668</v>
      </c>
      <c r="J65" s="632">
        <v>25</v>
      </c>
      <c r="K65" s="632">
        <v>1787</v>
      </c>
      <c r="L65" s="632"/>
      <c r="M65" s="644"/>
    </row>
    <row r="66" spans="1:13" ht="15" customHeight="1">
      <c r="A66" s="643">
        <v>11110</v>
      </c>
      <c r="B66" s="631" t="s">
        <v>163</v>
      </c>
      <c r="C66" s="631"/>
      <c r="D66" s="631"/>
      <c r="E66" s="631"/>
      <c r="F66" s="632" t="s">
        <v>116</v>
      </c>
      <c r="G66" s="632">
        <v>0</v>
      </c>
      <c r="H66" s="632">
        <v>1</v>
      </c>
      <c r="I66" s="632">
        <v>138</v>
      </c>
      <c r="J66" s="632">
        <v>2</v>
      </c>
      <c r="K66" s="632">
        <v>141</v>
      </c>
      <c r="L66" s="632"/>
      <c r="M66" s="644"/>
    </row>
    <row r="67" spans="1:13" ht="15" customHeight="1">
      <c r="A67" s="643">
        <v>11110</v>
      </c>
      <c r="B67" s="631" t="s">
        <v>163</v>
      </c>
      <c r="C67" s="631"/>
      <c r="D67" s="631"/>
      <c r="E67" s="631"/>
      <c r="F67" s="632" t="s">
        <v>114</v>
      </c>
      <c r="G67" s="632">
        <v>0</v>
      </c>
      <c r="H67" s="632">
        <v>33</v>
      </c>
      <c r="I67" s="632">
        <v>190</v>
      </c>
      <c r="J67" s="632">
        <v>5</v>
      </c>
      <c r="K67" s="632">
        <v>228</v>
      </c>
      <c r="L67" s="632"/>
      <c r="M67" s="644"/>
    </row>
    <row r="68" spans="1:13" ht="15" customHeight="1">
      <c r="A68" s="643">
        <v>11110</v>
      </c>
      <c r="B68" s="631" t="s">
        <v>163</v>
      </c>
      <c r="C68" s="631"/>
      <c r="D68" s="631"/>
      <c r="E68" s="631"/>
      <c r="F68" s="632" t="s">
        <v>119</v>
      </c>
      <c r="G68" s="632">
        <v>0</v>
      </c>
      <c r="H68" s="632">
        <v>17</v>
      </c>
      <c r="I68" s="632">
        <v>124</v>
      </c>
      <c r="J68" s="632">
        <v>0</v>
      </c>
      <c r="K68" s="632">
        <v>141</v>
      </c>
      <c r="L68" s="632"/>
      <c r="M68" s="644"/>
    </row>
    <row r="69" spans="1:13" ht="15" customHeight="1">
      <c r="A69" s="643">
        <v>11110</v>
      </c>
      <c r="B69" s="631" t="s">
        <v>163</v>
      </c>
      <c r="C69" s="631"/>
      <c r="D69" s="631"/>
      <c r="E69" s="631"/>
      <c r="F69" s="632" t="s">
        <v>122</v>
      </c>
      <c r="G69" s="632">
        <v>0</v>
      </c>
      <c r="H69" s="632">
        <v>345</v>
      </c>
      <c r="I69" s="632">
        <v>390</v>
      </c>
      <c r="J69" s="632">
        <v>6</v>
      </c>
      <c r="K69" s="632">
        <v>741</v>
      </c>
      <c r="L69" s="632"/>
      <c r="M69" s="644"/>
    </row>
    <row r="70" spans="1:13" ht="15" customHeight="1">
      <c r="A70" s="641">
        <v>11120</v>
      </c>
      <c r="B70" s="629" t="s">
        <v>164</v>
      </c>
      <c r="C70" s="629" t="s">
        <v>130</v>
      </c>
      <c r="D70" s="629" t="s">
        <v>131</v>
      </c>
      <c r="E70" s="630">
        <v>2.25</v>
      </c>
      <c r="F70" s="630" t="s">
        <v>132</v>
      </c>
      <c r="G70" s="630">
        <v>68</v>
      </c>
      <c r="H70" s="630">
        <v>1</v>
      </c>
      <c r="I70" s="630">
        <v>28</v>
      </c>
      <c r="J70" s="630">
        <v>2</v>
      </c>
      <c r="K70" s="630">
        <v>99</v>
      </c>
      <c r="L70" s="630">
        <v>97</v>
      </c>
      <c r="M70" s="642">
        <v>218.25</v>
      </c>
    </row>
    <row r="71" spans="1:13" ht="15" customHeight="1">
      <c r="A71" s="639">
        <v>11120</v>
      </c>
      <c r="B71" s="627" t="s">
        <v>164</v>
      </c>
      <c r="C71" s="627" t="s">
        <v>130</v>
      </c>
      <c r="D71" s="627" t="s">
        <v>131</v>
      </c>
      <c r="E71" s="628">
        <v>2.25</v>
      </c>
      <c r="F71" s="628" t="s">
        <v>109</v>
      </c>
      <c r="G71" s="628">
        <v>0</v>
      </c>
      <c r="H71" s="628">
        <v>3</v>
      </c>
      <c r="I71" s="628">
        <v>135</v>
      </c>
      <c r="J71" s="628">
        <v>5</v>
      </c>
      <c r="K71" s="628">
        <v>143</v>
      </c>
      <c r="L71" s="628">
        <v>137.5</v>
      </c>
      <c r="M71" s="640">
        <v>309.38</v>
      </c>
    </row>
    <row r="72" spans="1:13" ht="15" customHeight="1">
      <c r="A72" s="641">
        <v>11120</v>
      </c>
      <c r="B72" s="629" t="s">
        <v>164</v>
      </c>
      <c r="C72" s="629" t="s">
        <v>95</v>
      </c>
      <c r="D72" s="629" t="s">
        <v>18</v>
      </c>
      <c r="E72" s="630">
        <v>2.25</v>
      </c>
      <c r="F72" s="630" t="s">
        <v>132</v>
      </c>
      <c r="G72" s="630">
        <v>29</v>
      </c>
      <c r="H72" s="630">
        <v>2</v>
      </c>
      <c r="I72" s="630">
        <v>32</v>
      </c>
      <c r="J72" s="630">
        <v>1</v>
      </c>
      <c r="K72" s="630">
        <v>64</v>
      </c>
      <c r="L72" s="630">
        <v>61.5</v>
      </c>
      <c r="M72" s="642">
        <v>138.38</v>
      </c>
    </row>
    <row r="73" spans="1:13" ht="15" customHeight="1">
      <c r="A73" s="639">
        <v>11120</v>
      </c>
      <c r="B73" s="627" t="s">
        <v>164</v>
      </c>
      <c r="C73" s="627" t="s">
        <v>95</v>
      </c>
      <c r="D73" s="627" t="s">
        <v>18</v>
      </c>
      <c r="E73" s="628">
        <v>2.25</v>
      </c>
      <c r="F73" s="628" t="s">
        <v>109</v>
      </c>
      <c r="G73" s="628">
        <v>0</v>
      </c>
      <c r="H73" s="628">
        <v>25</v>
      </c>
      <c r="I73" s="628">
        <v>129</v>
      </c>
      <c r="J73" s="628">
        <v>3</v>
      </c>
      <c r="K73" s="628">
        <v>157</v>
      </c>
      <c r="L73" s="628">
        <v>130.5</v>
      </c>
      <c r="M73" s="640">
        <v>293.63</v>
      </c>
    </row>
    <row r="74" spans="1:13" ht="15" customHeight="1">
      <c r="A74" s="641">
        <v>11120</v>
      </c>
      <c r="B74" s="629" t="s">
        <v>164</v>
      </c>
      <c r="C74" s="629" t="s">
        <v>9</v>
      </c>
      <c r="D74" s="629" t="s">
        <v>10</v>
      </c>
      <c r="E74" s="630">
        <v>2.8</v>
      </c>
      <c r="F74" s="630" t="s">
        <v>110</v>
      </c>
      <c r="G74" s="630">
        <v>139</v>
      </c>
      <c r="H74" s="630">
        <v>0</v>
      </c>
      <c r="I74" s="630">
        <v>63</v>
      </c>
      <c r="J74" s="630">
        <v>0</v>
      </c>
      <c r="K74" s="630">
        <v>202</v>
      </c>
      <c r="L74" s="630">
        <v>202</v>
      </c>
      <c r="M74" s="642">
        <v>565.6</v>
      </c>
    </row>
    <row r="75" spans="1:13" ht="15" customHeight="1">
      <c r="A75" s="639">
        <v>11120</v>
      </c>
      <c r="B75" s="627" t="s">
        <v>164</v>
      </c>
      <c r="C75" s="627" t="s">
        <v>9</v>
      </c>
      <c r="D75" s="627" t="s">
        <v>10</v>
      </c>
      <c r="E75" s="628">
        <v>2.8</v>
      </c>
      <c r="F75" s="628" t="s">
        <v>113</v>
      </c>
      <c r="G75" s="628">
        <v>0</v>
      </c>
      <c r="H75" s="628">
        <v>41</v>
      </c>
      <c r="I75" s="628">
        <v>815</v>
      </c>
      <c r="J75" s="628">
        <v>5</v>
      </c>
      <c r="K75" s="628">
        <v>861</v>
      </c>
      <c r="L75" s="628">
        <v>817.5</v>
      </c>
      <c r="M75" s="640">
        <v>2289</v>
      </c>
    </row>
    <row r="76" spans="1:13" ht="15" customHeight="1">
      <c r="A76" s="641">
        <v>11120</v>
      </c>
      <c r="B76" s="629" t="s">
        <v>164</v>
      </c>
      <c r="C76" s="629" t="s">
        <v>135</v>
      </c>
      <c r="D76" s="629" t="s">
        <v>136</v>
      </c>
      <c r="E76" s="630">
        <v>2.8</v>
      </c>
      <c r="F76" s="630" t="s">
        <v>119</v>
      </c>
      <c r="G76" s="630">
        <v>0</v>
      </c>
      <c r="H76" s="630">
        <v>0</v>
      </c>
      <c r="I76" s="630">
        <v>2</v>
      </c>
      <c r="J76" s="630">
        <v>0</v>
      </c>
      <c r="K76" s="630">
        <v>2</v>
      </c>
      <c r="L76" s="630">
        <v>2</v>
      </c>
      <c r="M76" s="642">
        <v>5.6</v>
      </c>
    </row>
    <row r="77" spans="1:13" ht="15" customHeight="1">
      <c r="A77" s="639">
        <v>11120</v>
      </c>
      <c r="B77" s="627" t="s">
        <v>164</v>
      </c>
      <c r="C77" s="627" t="s">
        <v>135</v>
      </c>
      <c r="D77" s="627" t="s">
        <v>136</v>
      </c>
      <c r="E77" s="628">
        <v>2.8</v>
      </c>
      <c r="F77" s="628" t="s">
        <v>122</v>
      </c>
      <c r="G77" s="628">
        <v>0</v>
      </c>
      <c r="H77" s="628">
        <v>1</v>
      </c>
      <c r="I77" s="628">
        <v>2</v>
      </c>
      <c r="J77" s="628">
        <v>0</v>
      </c>
      <c r="K77" s="628">
        <v>3</v>
      </c>
      <c r="L77" s="628">
        <v>2</v>
      </c>
      <c r="M77" s="640">
        <v>5.6</v>
      </c>
    </row>
    <row r="78" spans="1:13" ht="15" customHeight="1">
      <c r="A78" s="641">
        <v>11120</v>
      </c>
      <c r="B78" s="629" t="s">
        <v>164</v>
      </c>
      <c r="C78" s="629" t="s">
        <v>137</v>
      </c>
      <c r="D78" s="629" t="s">
        <v>138</v>
      </c>
      <c r="E78" s="630">
        <v>2.25</v>
      </c>
      <c r="F78" s="630" t="s">
        <v>122</v>
      </c>
      <c r="G78" s="630">
        <v>0</v>
      </c>
      <c r="H78" s="630">
        <v>5</v>
      </c>
      <c r="I78" s="630">
        <v>2</v>
      </c>
      <c r="J78" s="630">
        <v>0</v>
      </c>
      <c r="K78" s="630">
        <v>7</v>
      </c>
      <c r="L78" s="630">
        <v>2</v>
      </c>
      <c r="M78" s="642">
        <v>4.5</v>
      </c>
    </row>
    <row r="79" spans="1:13" ht="15" customHeight="1">
      <c r="A79" s="639">
        <v>11120</v>
      </c>
      <c r="B79" s="627" t="s">
        <v>164</v>
      </c>
      <c r="C79" s="627" t="s">
        <v>139</v>
      </c>
      <c r="D79" s="627" t="s">
        <v>140</v>
      </c>
      <c r="E79" s="628">
        <v>2.25</v>
      </c>
      <c r="F79" s="628" t="s">
        <v>122</v>
      </c>
      <c r="G79" s="628">
        <v>0</v>
      </c>
      <c r="H79" s="628">
        <v>1</v>
      </c>
      <c r="I79" s="628">
        <v>2</v>
      </c>
      <c r="J79" s="628">
        <v>0</v>
      </c>
      <c r="K79" s="628">
        <v>3</v>
      </c>
      <c r="L79" s="628">
        <v>2</v>
      </c>
      <c r="M79" s="640">
        <v>4.5</v>
      </c>
    </row>
    <row r="80" spans="1:13" ht="15" customHeight="1">
      <c r="A80" s="641">
        <v>11120</v>
      </c>
      <c r="B80" s="629" t="s">
        <v>164</v>
      </c>
      <c r="C80" s="629" t="s">
        <v>77</v>
      </c>
      <c r="D80" s="629" t="s">
        <v>78</v>
      </c>
      <c r="E80" s="630">
        <v>2.25</v>
      </c>
      <c r="F80" s="630" t="s">
        <v>119</v>
      </c>
      <c r="G80" s="630">
        <v>0</v>
      </c>
      <c r="H80" s="630">
        <v>0</v>
      </c>
      <c r="I80" s="630">
        <v>3</v>
      </c>
      <c r="J80" s="630">
        <v>0</v>
      </c>
      <c r="K80" s="630">
        <v>3</v>
      </c>
      <c r="L80" s="630">
        <v>3</v>
      </c>
      <c r="M80" s="642">
        <v>6.75</v>
      </c>
    </row>
    <row r="81" spans="1:13" ht="15" customHeight="1">
      <c r="A81" s="639">
        <v>11120</v>
      </c>
      <c r="B81" s="627" t="s">
        <v>164</v>
      </c>
      <c r="C81" s="627" t="s">
        <v>77</v>
      </c>
      <c r="D81" s="627" t="s">
        <v>78</v>
      </c>
      <c r="E81" s="628">
        <v>2.25</v>
      </c>
      <c r="F81" s="628" t="s">
        <v>122</v>
      </c>
      <c r="G81" s="628">
        <v>0</v>
      </c>
      <c r="H81" s="628">
        <v>7</v>
      </c>
      <c r="I81" s="628">
        <v>9</v>
      </c>
      <c r="J81" s="628">
        <v>0</v>
      </c>
      <c r="K81" s="628">
        <v>16</v>
      </c>
      <c r="L81" s="628">
        <v>9</v>
      </c>
      <c r="M81" s="640">
        <v>20.25</v>
      </c>
    </row>
    <row r="82" spans="1:13" ht="15" customHeight="1">
      <c r="A82" s="641">
        <v>11120</v>
      </c>
      <c r="B82" s="629" t="s">
        <v>164</v>
      </c>
      <c r="C82" s="629" t="s">
        <v>13</v>
      </c>
      <c r="D82" s="629" t="s">
        <v>14</v>
      </c>
      <c r="E82" s="630">
        <v>2.8</v>
      </c>
      <c r="F82" s="630" t="s">
        <v>119</v>
      </c>
      <c r="G82" s="630">
        <v>0</v>
      </c>
      <c r="H82" s="630">
        <v>1</v>
      </c>
      <c r="I82" s="630">
        <v>5</v>
      </c>
      <c r="J82" s="630">
        <v>0</v>
      </c>
      <c r="K82" s="630">
        <v>6</v>
      </c>
      <c r="L82" s="630">
        <v>5</v>
      </c>
      <c r="M82" s="642">
        <v>14</v>
      </c>
    </row>
    <row r="83" spans="1:13" ht="15" customHeight="1">
      <c r="A83" s="639">
        <v>11120</v>
      </c>
      <c r="B83" s="627" t="s">
        <v>164</v>
      </c>
      <c r="C83" s="627" t="s">
        <v>13</v>
      </c>
      <c r="D83" s="627" t="s">
        <v>14</v>
      </c>
      <c r="E83" s="628">
        <v>2.8</v>
      </c>
      <c r="F83" s="628" t="s">
        <v>122</v>
      </c>
      <c r="G83" s="628">
        <v>0</v>
      </c>
      <c r="H83" s="628">
        <v>20</v>
      </c>
      <c r="I83" s="628">
        <v>24</v>
      </c>
      <c r="J83" s="628">
        <v>0</v>
      </c>
      <c r="K83" s="628">
        <v>44</v>
      </c>
      <c r="L83" s="628">
        <v>24</v>
      </c>
      <c r="M83" s="640">
        <v>67.2</v>
      </c>
    </row>
    <row r="84" spans="1:13" ht="15" customHeight="1">
      <c r="A84" s="641">
        <v>11120</v>
      </c>
      <c r="B84" s="629" t="s">
        <v>164</v>
      </c>
      <c r="C84" s="629" t="s">
        <v>15</v>
      </c>
      <c r="D84" s="629" t="s">
        <v>16</v>
      </c>
      <c r="E84" s="630">
        <v>2.25</v>
      </c>
      <c r="F84" s="630" t="s">
        <v>119</v>
      </c>
      <c r="G84" s="630">
        <v>0</v>
      </c>
      <c r="H84" s="630">
        <v>0</v>
      </c>
      <c r="I84" s="630">
        <v>6</v>
      </c>
      <c r="J84" s="630">
        <v>0</v>
      </c>
      <c r="K84" s="630">
        <v>6</v>
      </c>
      <c r="L84" s="630">
        <v>6</v>
      </c>
      <c r="M84" s="642">
        <v>13.5</v>
      </c>
    </row>
    <row r="85" spans="1:13" ht="15" customHeight="1">
      <c r="A85" s="639">
        <v>11120</v>
      </c>
      <c r="B85" s="627" t="s">
        <v>164</v>
      </c>
      <c r="C85" s="627" t="s">
        <v>15</v>
      </c>
      <c r="D85" s="627" t="s">
        <v>16</v>
      </c>
      <c r="E85" s="628">
        <v>2.25</v>
      </c>
      <c r="F85" s="628" t="s">
        <v>122</v>
      </c>
      <c r="G85" s="628">
        <v>0</v>
      </c>
      <c r="H85" s="628">
        <v>22</v>
      </c>
      <c r="I85" s="628">
        <v>22</v>
      </c>
      <c r="J85" s="628">
        <v>0</v>
      </c>
      <c r="K85" s="628">
        <v>44</v>
      </c>
      <c r="L85" s="628">
        <v>22</v>
      </c>
      <c r="M85" s="640">
        <v>49.5</v>
      </c>
    </row>
    <row r="86" spans="1:13" ht="15" customHeight="1">
      <c r="A86" s="641">
        <v>11120</v>
      </c>
      <c r="B86" s="629" t="s">
        <v>164</v>
      </c>
      <c r="C86" s="629" t="s">
        <v>149</v>
      </c>
      <c r="D86" s="629" t="s">
        <v>150</v>
      </c>
      <c r="E86" s="630">
        <v>2.8</v>
      </c>
      <c r="F86" s="630" t="s">
        <v>119</v>
      </c>
      <c r="G86" s="630">
        <v>0</v>
      </c>
      <c r="H86" s="630">
        <v>0</v>
      </c>
      <c r="I86" s="630">
        <v>10</v>
      </c>
      <c r="J86" s="630">
        <v>0</v>
      </c>
      <c r="K86" s="630">
        <v>10</v>
      </c>
      <c r="L86" s="630">
        <v>10</v>
      </c>
      <c r="M86" s="642">
        <v>28</v>
      </c>
    </row>
    <row r="87" spans="1:13" ht="15" customHeight="1">
      <c r="A87" s="639">
        <v>11120</v>
      </c>
      <c r="B87" s="627" t="s">
        <v>164</v>
      </c>
      <c r="C87" s="627" t="s">
        <v>149</v>
      </c>
      <c r="D87" s="627" t="s">
        <v>150</v>
      </c>
      <c r="E87" s="628">
        <v>2.8</v>
      </c>
      <c r="F87" s="628" t="s">
        <v>122</v>
      </c>
      <c r="G87" s="628">
        <v>0</v>
      </c>
      <c r="H87" s="628">
        <v>10</v>
      </c>
      <c r="I87" s="628">
        <v>51</v>
      </c>
      <c r="J87" s="628">
        <v>0</v>
      </c>
      <c r="K87" s="628">
        <v>61</v>
      </c>
      <c r="L87" s="628">
        <v>51</v>
      </c>
      <c r="M87" s="640">
        <v>142.8</v>
      </c>
    </row>
    <row r="88" spans="1:13" ht="15" customHeight="1">
      <c r="A88" s="641">
        <v>11120</v>
      </c>
      <c r="B88" s="629" t="s">
        <v>164</v>
      </c>
      <c r="C88" s="629" t="s">
        <v>151</v>
      </c>
      <c r="D88" s="629" t="s">
        <v>152</v>
      </c>
      <c r="E88" s="630">
        <v>2.8</v>
      </c>
      <c r="F88" s="630" t="s">
        <v>119</v>
      </c>
      <c r="G88" s="630">
        <v>0</v>
      </c>
      <c r="H88" s="630">
        <v>2</v>
      </c>
      <c r="I88" s="630">
        <v>14</v>
      </c>
      <c r="J88" s="630">
        <v>0</v>
      </c>
      <c r="K88" s="630">
        <v>16</v>
      </c>
      <c r="L88" s="630">
        <v>14</v>
      </c>
      <c r="M88" s="642">
        <v>39.2</v>
      </c>
    </row>
    <row r="89" spans="1:13" ht="15" customHeight="1">
      <c r="A89" s="639">
        <v>11120</v>
      </c>
      <c r="B89" s="627" t="s">
        <v>164</v>
      </c>
      <c r="C89" s="627" t="s">
        <v>151</v>
      </c>
      <c r="D89" s="627" t="s">
        <v>152</v>
      </c>
      <c r="E89" s="628">
        <v>2.8</v>
      </c>
      <c r="F89" s="628" t="s">
        <v>122</v>
      </c>
      <c r="G89" s="628">
        <v>0</v>
      </c>
      <c r="H89" s="628">
        <v>35</v>
      </c>
      <c r="I89" s="628">
        <v>48</v>
      </c>
      <c r="J89" s="628">
        <v>0</v>
      </c>
      <c r="K89" s="628">
        <v>83</v>
      </c>
      <c r="L89" s="628">
        <v>48</v>
      </c>
      <c r="M89" s="640">
        <v>134.4</v>
      </c>
    </row>
    <row r="90" spans="1:13" ht="15" customHeight="1">
      <c r="A90" s="641">
        <v>11120</v>
      </c>
      <c r="B90" s="629" t="s">
        <v>164</v>
      </c>
      <c r="C90" s="629" t="s">
        <v>153</v>
      </c>
      <c r="D90" s="629" t="s">
        <v>154</v>
      </c>
      <c r="E90" s="630">
        <v>2.8</v>
      </c>
      <c r="F90" s="630" t="s">
        <v>119</v>
      </c>
      <c r="G90" s="630">
        <v>0</v>
      </c>
      <c r="H90" s="630">
        <v>0</v>
      </c>
      <c r="I90" s="630">
        <v>2</v>
      </c>
      <c r="J90" s="630">
        <v>0</v>
      </c>
      <c r="K90" s="630">
        <v>2</v>
      </c>
      <c r="L90" s="630">
        <v>2</v>
      </c>
      <c r="M90" s="642">
        <v>5.6</v>
      </c>
    </row>
    <row r="91" spans="1:13" ht="15" customHeight="1">
      <c r="A91" s="639">
        <v>11120</v>
      </c>
      <c r="B91" s="627" t="s">
        <v>164</v>
      </c>
      <c r="C91" s="627" t="s">
        <v>153</v>
      </c>
      <c r="D91" s="627" t="s">
        <v>154</v>
      </c>
      <c r="E91" s="628">
        <v>2.8</v>
      </c>
      <c r="F91" s="628" t="s">
        <v>122</v>
      </c>
      <c r="G91" s="628">
        <v>0</v>
      </c>
      <c r="H91" s="628">
        <v>5</v>
      </c>
      <c r="I91" s="628">
        <v>4</v>
      </c>
      <c r="J91" s="628">
        <v>0</v>
      </c>
      <c r="K91" s="628">
        <v>9</v>
      </c>
      <c r="L91" s="628">
        <v>4</v>
      </c>
      <c r="M91" s="640">
        <v>11.2</v>
      </c>
    </row>
    <row r="92" spans="1:13" ht="15" customHeight="1">
      <c r="A92" s="641">
        <v>11120</v>
      </c>
      <c r="B92" s="629" t="s">
        <v>164</v>
      </c>
      <c r="C92" s="629" t="s">
        <v>161</v>
      </c>
      <c r="D92" s="629" t="s">
        <v>162</v>
      </c>
      <c r="E92" s="630">
        <v>2.25</v>
      </c>
      <c r="F92" s="630" t="s">
        <v>119</v>
      </c>
      <c r="G92" s="630">
        <v>0</v>
      </c>
      <c r="H92" s="630">
        <v>0</v>
      </c>
      <c r="I92" s="630">
        <v>3</v>
      </c>
      <c r="J92" s="630">
        <v>0</v>
      </c>
      <c r="K92" s="630">
        <v>3</v>
      </c>
      <c r="L92" s="630">
        <v>3</v>
      </c>
      <c r="M92" s="642">
        <v>6.75</v>
      </c>
    </row>
    <row r="93" spans="1:13" ht="15" customHeight="1">
      <c r="A93" s="639">
        <v>11120</v>
      </c>
      <c r="B93" s="627" t="s">
        <v>164</v>
      </c>
      <c r="C93" s="627" t="s">
        <v>161</v>
      </c>
      <c r="D93" s="627" t="s">
        <v>162</v>
      </c>
      <c r="E93" s="628">
        <v>2.25</v>
      </c>
      <c r="F93" s="628" t="s">
        <v>122</v>
      </c>
      <c r="G93" s="628">
        <v>0</v>
      </c>
      <c r="H93" s="628">
        <v>2</v>
      </c>
      <c r="I93" s="628">
        <v>1</v>
      </c>
      <c r="J93" s="628">
        <v>0</v>
      </c>
      <c r="K93" s="628">
        <v>3</v>
      </c>
      <c r="L93" s="628">
        <v>1</v>
      </c>
      <c r="M93" s="640">
        <v>2.25</v>
      </c>
    </row>
    <row r="94" spans="1:13" ht="15" customHeight="1">
      <c r="A94" s="643">
        <v>11120</v>
      </c>
      <c r="B94" s="631" t="s">
        <v>163</v>
      </c>
      <c r="C94" s="631"/>
      <c r="D94" s="631"/>
      <c r="E94" s="631"/>
      <c r="F94" s="632" t="s">
        <v>132</v>
      </c>
      <c r="G94" s="632">
        <v>97</v>
      </c>
      <c r="H94" s="632">
        <v>3</v>
      </c>
      <c r="I94" s="632">
        <v>60</v>
      </c>
      <c r="J94" s="632">
        <v>3</v>
      </c>
      <c r="K94" s="632">
        <v>163</v>
      </c>
      <c r="L94" s="632"/>
      <c r="M94" s="644"/>
    </row>
    <row r="95" spans="1:13" ht="15" customHeight="1">
      <c r="A95" s="643">
        <v>11120</v>
      </c>
      <c r="B95" s="631" t="s">
        <v>163</v>
      </c>
      <c r="C95" s="631"/>
      <c r="D95" s="631"/>
      <c r="E95" s="631"/>
      <c r="F95" s="632" t="s">
        <v>109</v>
      </c>
      <c r="G95" s="632">
        <v>0</v>
      </c>
      <c r="H95" s="632">
        <v>28</v>
      </c>
      <c r="I95" s="632">
        <v>264</v>
      </c>
      <c r="J95" s="632">
        <v>8</v>
      </c>
      <c r="K95" s="632">
        <v>300</v>
      </c>
      <c r="L95" s="632"/>
      <c r="M95" s="644"/>
    </row>
    <row r="96" spans="1:13" ht="15" customHeight="1">
      <c r="A96" s="643">
        <v>11120</v>
      </c>
      <c r="B96" s="631" t="s">
        <v>163</v>
      </c>
      <c r="C96" s="631"/>
      <c r="D96" s="631"/>
      <c r="E96" s="631"/>
      <c r="F96" s="632" t="s">
        <v>110</v>
      </c>
      <c r="G96" s="632">
        <v>139</v>
      </c>
      <c r="H96" s="632">
        <v>0</v>
      </c>
      <c r="I96" s="632">
        <v>63</v>
      </c>
      <c r="J96" s="632">
        <v>0</v>
      </c>
      <c r="K96" s="632">
        <v>202</v>
      </c>
      <c r="L96" s="632"/>
      <c r="M96" s="644"/>
    </row>
    <row r="97" spans="1:13" ht="15" customHeight="1">
      <c r="A97" s="643">
        <v>11120</v>
      </c>
      <c r="B97" s="631" t="s">
        <v>163</v>
      </c>
      <c r="C97" s="631"/>
      <c r="D97" s="631"/>
      <c r="E97" s="631"/>
      <c r="F97" s="632" t="s">
        <v>113</v>
      </c>
      <c r="G97" s="632">
        <v>0</v>
      </c>
      <c r="H97" s="632">
        <v>41</v>
      </c>
      <c r="I97" s="632">
        <v>815</v>
      </c>
      <c r="J97" s="632">
        <v>5</v>
      </c>
      <c r="K97" s="632">
        <v>861</v>
      </c>
      <c r="L97" s="632"/>
      <c r="M97" s="644"/>
    </row>
    <row r="98" spans="1:13" ht="15" customHeight="1">
      <c r="A98" s="643">
        <v>11120</v>
      </c>
      <c r="B98" s="631" t="s">
        <v>163</v>
      </c>
      <c r="C98" s="631"/>
      <c r="D98" s="631"/>
      <c r="E98" s="631"/>
      <c r="F98" s="632" t="s">
        <v>116</v>
      </c>
      <c r="G98" s="632">
        <v>0</v>
      </c>
      <c r="H98" s="632">
        <v>0</v>
      </c>
      <c r="I98" s="632">
        <v>0</v>
      </c>
      <c r="J98" s="632">
        <v>0</v>
      </c>
      <c r="K98" s="632">
        <v>0</v>
      </c>
      <c r="L98" s="632"/>
      <c r="M98" s="644"/>
    </row>
    <row r="99" spans="1:13" ht="15" customHeight="1">
      <c r="A99" s="643">
        <v>11120</v>
      </c>
      <c r="B99" s="631" t="s">
        <v>163</v>
      </c>
      <c r="C99" s="631"/>
      <c r="D99" s="631"/>
      <c r="E99" s="631"/>
      <c r="F99" s="632" t="s">
        <v>114</v>
      </c>
      <c r="G99" s="632">
        <v>0</v>
      </c>
      <c r="H99" s="632">
        <v>0</v>
      </c>
      <c r="I99" s="632">
        <v>0</v>
      </c>
      <c r="J99" s="632">
        <v>0</v>
      </c>
      <c r="K99" s="632">
        <v>0</v>
      </c>
      <c r="L99" s="632"/>
      <c r="M99" s="644"/>
    </row>
    <row r="100" spans="1:13" ht="15" customHeight="1">
      <c r="A100" s="643">
        <v>11120</v>
      </c>
      <c r="B100" s="631" t="s">
        <v>163</v>
      </c>
      <c r="C100" s="631"/>
      <c r="D100" s="631"/>
      <c r="E100" s="631"/>
      <c r="F100" s="632" t="s">
        <v>119</v>
      </c>
      <c r="G100" s="632">
        <v>0</v>
      </c>
      <c r="H100" s="632">
        <v>3</v>
      </c>
      <c r="I100" s="632">
        <v>45</v>
      </c>
      <c r="J100" s="632">
        <v>0</v>
      </c>
      <c r="K100" s="632">
        <v>48</v>
      </c>
      <c r="L100" s="632"/>
      <c r="M100" s="644"/>
    </row>
    <row r="101" spans="1:13" ht="15" customHeight="1">
      <c r="A101" s="643">
        <v>11120</v>
      </c>
      <c r="B101" s="631" t="s">
        <v>163</v>
      </c>
      <c r="C101" s="631"/>
      <c r="D101" s="631"/>
      <c r="E101" s="631"/>
      <c r="F101" s="632" t="s">
        <v>122</v>
      </c>
      <c r="G101" s="632">
        <v>0</v>
      </c>
      <c r="H101" s="632">
        <v>108</v>
      </c>
      <c r="I101" s="632">
        <v>165</v>
      </c>
      <c r="J101" s="632">
        <v>0</v>
      </c>
      <c r="K101" s="632">
        <v>273</v>
      </c>
      <c r="L101" s="632"/>
      <c r="M101" s="644"/>
    </row>
    <row r="102" spans="1:13" ht="15" customHeight="1">
      <c r="A102" s="641">
        <v>11130</v>
      </c>
      <c r="B102" s="629" t="s">
        <v>165</v>
      </c>
      <c r="C102" s="629" t="s">
        <v>130</v>
      </c>
      <c r="D102" s="629" t="s">
        <v>131</v>
      </c>
      <c r="E102" s="630">
        <v>2.25</v>
      </c>
      <c r="F102" s="630" t="s">
        <v>132</v>
      </c>
      <c r="G102" s="630">
        <v>33</v>
      </c>
      <c r="H102" s="630">
        <v>1</v>
      </c>
      <c r="I102" s="630">
        <v>6</v>
      </c>
      <c r="J102" s="630">
        <v>1</v>
      </c>
      <c r="K102" s="630">
        <v>41</v>
      </c>
      <c r="L102" s="630">
        <v>39.5</v>
      </c>
      <c r="M102" s="642">
        <v>88.88</v>
      </c>
    </row>
    <row r="103" spans="1:13" ht="15" customHeight="1">
      <c r="A103" s="639">
        <v>11130</v>
      </c>
      <c r="B103" s="627" t="s">
        <v>165</v>
      </c>
      <c r="C103" s="627" t="s">
        <v>130</v>
      </c>
      <c r="D103" s="627" t="s">
        <v>131</v>
      </c>
      <c r="E103" s="628">
        <v>2.25</v>
      </c>
      <c r="F103" s="628" t="s">
        <v>109</v>
      </c>
      <c r="G103" s="628">
        <v>0</v>
      </c>
      <c r="H103" s="628">
        <v>2</v>
      </c>
      <c r="I103" s="628">
        <v>29</v>
      </c>
      <c r="J103" s="628">
        <v>1</v>
      </c>
      <c r="K103" s="628">
        <v>32</v>
      </c>
      <c r="L103" s="628">
        <v>29.5</v>
      </c>
      <c r="M103" s="640">
        <v>66.38</v>
      </c>
    </row>
    <row r="104" spans="1:13" ht="15" customHeight="1">
      <c r="A104" s="641">
        <v>11130</v>
      </c>
      <c r="B104" s="629" t="s">
        <v>165</v>
      </c>
      <c r="C104" s="629" t="s">
        <v>95</v>
      </c>
      <c r="D104" s="629" t="s">
        <v>18</v>
      </c>
      <c r="E104" s="630">
        <v>2.25</v>
      </c>
      <c r="F104" s="630" t="s">
        <v>132</v>
      </c>
      <c r="G104" s="630">
        <v>17</v>
      </c>
      <c r="H104" s="630">
        <v>0</v>
      </c>
      <c r="I104" s="630">
        <v>16</v>
      </c>
      <c r="J104" s="630">
        <v>0</v>
      </c>
      <c r="K104" s="630">
        <v>33</v>
      </c>
      <c r="L104" s="630">
        <v>33</v>
      </c>
      <c r="M104" s="642">
        <v>74.25</v>
      </c>
    </row>
    <row r="105" spans="1:13" ht="15" customHeight="1">
      <c r="A105" s="639">
        <v>11130</v>
      </c>
      <c r="B105" s="627" t="s">
        <v>165</v>
      </c>
      <c r="C105" s="627" t="s">
        <v>95</v>
      </c>
      <c r="D105" s="627" t="s">
        <v>18</v>
      </c>
      <c r="E105" s="628">
        <v>2.25</v>
      </c>
      <c r="F105" s="628" t="s">
        <v>109</v>
      </c>
      <c r="G105" s="628">
        <v>0</v>
      </c>
      <c r="H105" s="628">
        <v>6</v>
      </c>
      <c r="I105" s="628">
        <v>54</v>
      </c>
      <c r="J105" s="628">
        <v>1</v>
      </c>
      <c r="K105" s="628">
        <v>61</v>
      </c>
      <c r="L105" s="628">
        <v>54.5</v>
      </c>
      <c r="M105" s="640">
        <v>122.63</v>
      </c>
    </row>
    <row r="106" spans="1:13" ht="15" customHeight="1">
      <c r="A106" s="641">
        <v>11130</v>
      </c>
      <c r="B106" s="629" t="s">
        <v>165</v>
      </c>
      <c r="C106" s="629" t="s">
        <v>9</v>
      </c>
      <c r="D106" s="629" t="s">
        <v>10</v>
      </c>
      <c r="E106" s="630">
        <v>2.8</v>
      </c>
      <c r="F106" s="630" t="s">
        <v>110</v>
      </c>
      <c r="G106" s="630">
        <v>126</v>
      </c>
      <c r="H106" s="630">
        <v>0</v>
      </c>
      <c r="I106" s="630">
        <v>46</v>
      </c>
      <c r="J106" s="630">
        <v>0</v>
      </c>
      <c r="K106" s="630">
        <v>172</v>
      </c>
      <c r="L106" s="630">
        <v>172</v>
      </c>
      <c r="M106" s="642">
        <v>481.6</v>
      </c>
    </row>
    <row r="107" spans="1:13" ht="15" customHeight="1">
      <c r="A107" s="639">
        <v>11130</v>
      </c>
      <c r="B107" s="627" t="s">
        <v>165</v>
      </c>
      <c r="C107" s="627" t="s">
        <v>9</v>
      </c>
      <c r="D107" s="627" t="s">
        <v>10</v>
      </c>
      <c r="E107" s="628">
        <v>2.8</v>
      </c>
      <c r="F107" s="628" t="s">
        <v>113</v>
      </c>
      <c r="G107" s="628">
        <v>0</v>
      </c>
      <c r="H107" s="628">
        <v>11</v>
      </c>
      <c r="I107" s="628">
        <v>790</v>
      </c>
      <c r="J107" s="628">
        <v>2</v>
      </c>
      <c r="K107" s="628">
        <v>803</v>
      </c>
      <c r="L107" s="628">
        <v>791</v>
      </c>
      <c r="M107" s="640">
        <v>2214.8</v>
      </c>
    </row>
    <row r="108" spans="1:13" ht="15" customHeight="1">
      <c r="A108" s="641">
        <v>11130</v>
      </c>
      <c r="B108" s="629" t="s">
        <v>165</v>
      </c>
      <c r="C108" s="629" t="s">
        <v>98</v>
      </c>
      <c r="D108" s="629" t="s">
        <v>18</v>
      </c>
      <c r="E108" s="630">
        <v>2.25</v>
      </c>
      <c r="F108" s="630" t="s">
        <v>116</v>
      </c>
      <c r="G108" s="630">
        <v>0</v>
      </c>
      <c r="H108" s="630">
        <v>0</v>
      </c>
      <c r="I108" s="630">
        <v>28</v>
      </c>
      <c r="J108" s="630">
        <v>0</v>
      </c>
      <c r="K108" s="630">
        <v>28</v>
      </c>
      <c r="L108" s="630">
        <v>28</v>
      </c>
      <c r="M108" s="642">
        <v>63</v>
      </c>
    </row>
    <row r="109" spans="1:13" ht="15" customHeight="1">
      <c r="A109" s="639">
        <v>11130</v>
      </c>
      <c r="B109" s="627" t="s">
        <v>165</v>
      </c>
      <c r="C109" s="627" t="s">
        <v>98</v>
      </c>
      <c r="D109" s="627" t="s">
        <v>18</v>
      </c>
      <c r="E109" s="628">
        <v>2.25</v>
      </c>
      <c r="F109" s="628" t="s">
        <v>114</v>
      </c>
      <c r="G109" s="628">
        <v>0</v>
      </c>
      <c r="H109" s="628">
        <v>0</v>
      </c>
      <c r="I109" s="628">
        <v>28</v>
      </c>
      <c r="J109" s="628">
        <v>0</v>
      </c>
      <c r="K109" s="628">
        <v>28</v>
      </c>
      <c r="L109" s="628">
        <v>28</v>
      </c>
      <c r="M109" s="640">
        <v>63</v>
      </c>
    </row>
    <row r="110" spans="1:13" ht="15" customHeight="1">
      <c r="A110" s="641">
        <v>11130</v>
      </c>
      <c r="B110" s="629" t="s">
        <v>165</v>
      </c>
      <c r="C110" s="629" t="s">
        <v>135</v>
      </c>
      <c r="D110" s="629" t="s">
        <v>136</v>
      </c>
      <c r="E110" s="630">
        <v>2.8</v>
      </c>
      <c r="F110" s="630" t="s">
        <v>119</v>
      </c>
      <c r="G110" s="630">
        <v>0</v>
      </c>
      <c r="H110" s="630">
        <v>0</v>
      </c>
      <c r="I110" s="630">
        <v>2</v>
      </c>
      <c r="J110" s="630">
        <v>0</v>
      </c>
      <c r="K110" s="630">
        <v>2</v>
      </c>
      <c r="L110" s="630">
        <v>2</v>
      </c>
      <c r="M110" s="642">
        <v>5.6</v>
      </c>
    </row>
    <row r="111" spans="1:13" ht="15" customHeight="1">
      <c r="A111" s="639">
        <v>11130</v>
      </c>
      <c r="B111" s="627" t="s">
        <v>165</v>
      </c>
      <c r="C111" s="627" t="s">
        <v>135</v>
      </c>
      <c r="D111" s="627" t="s">
        <v>136</v>
      </c>
      <c r="E111" s="628">
        <v>2.8</v>
      </c>
      <c r="F111" s="628" t="s">
        <v>122</v>
      </c>
      <c r="G111" s="628">
        <v>0</v>
      </c>
      <c r="H111" s="628">
        <v>5</v>
      </c>
      <c r="I111" s="628">
        <v>12</v>
      </c>
      <c r="J111" s="628">
        <v>0</v>
      </c>
      <c r="K111" s="628">
        <v>17</v>
      </c>
      <c r="L111" s="628">
        <v>12</v>
      </c>
      <c r="M111" s="640">
        <v>33.6</v>
      </c>
    </row>
    <row r="112" spans="1:13" ht="15" customHeight="1">
      <c r="A112" s="641">
        <v>11130</v>
      </c>
      <c r="B112" s="629" t="s">
        <v>165</v>
      </c>
      <c r="C112" s="629" t="s">
        <v>75</v>
      </c>
      <c r="D112" s="629" t="s">
        <v>76</v>
      </c>
      <c r="E112" s="630">
        <v>2.8</v>
      </c>
      <c r="F112" s="630" t="s">
        <v>119</v>
      </c>
      <c r="G112" s="630">
        <v>0</v>
      </c>
      <c r="H112" s="630">
        <v>0</v>
      </c>
      <c r="I112" s="630">
        <v>1</v>
      </c>
      <c r="J112" s="630">
        <v>0</v>
      </c>
      <c r="K112" s="630">
        <v>1</v>
      </c>
      <c r="L112" s="630">
        <v>1</v>
      </c>
      <c r="M112" s="642">
        <v>2.8</v>
      </c>
    </row>
    <row r="113" spans="1:13" ht="15" customHeight="1">
      <c r="A113" s="639">
        <v>11130</v>
      </c>
      <c r="B113" s="627" t="s">
        <v>165</v>
      </c>
      <c r="C113" s="627" t="s">
        <v>137</v>
      </c>
      <c r="D113" s="627" t="s">
        <v>138</v>
      </c>
      <c r="E113" s="628">
        <v>2.25</v>
      </c>
      <c r="F113" s="628" t="s">
        <v>122</v>
      </c>
      <c r="G113" s="628">
        <v>0</v>
      </c>
      <c r="H113" s="628">
        <v>1</v>
      </c>
      <c r="I113" s="628">
        <v>1</v>
      </c>
      <c r="J113" s="628">
        <v>0</v>
      </c>
      <c r="K113" s="628">
        <v>2</v>
      </c>
      <c r="L113" s="628">
        <v>1</v>
      </c>
      <c r="M113" s="640">
        <v>2.25</v>
      </c>
    </row>
    <row r="114" spans="1:13" ht="15" customHeight="1">
      <c r="A114" s="641">
        <v>11130</v>
      </c>
      <c r="B114" s="629" t="s">
        <v>165</v>
      </c>
      <c r="C114" s="629" t="s">
        <v>139</v>
      </c>
      <c r="D114" s="629" t="s">
        <v>140</v>
      </c>
      <c r="E114" s="630">
        <v>2.25</v>
      </c>
      <c r="F114" s="630" t="s">
        <v>119</v>
      </c>
      <c r="G114" s="630">
        <v>0</v>
      </c>
      <c r="H114" s="630">
        <v>0</v>
      </c>
      <c r="I114" s="630">
        <v>3</v>
      </c>
      <c r="J114" s="630">
        <v>0</v>
      </c>
      <c r="K114" s="630">
        <v>3</v>
      </c>
      <c r="L114" s="630">
        <v>3</v>
      </c>
      <c r="M114" s="642">
        <v>6.75</v>
      </c>
    </row>
    <row r="115" spans="1:13" ht="15" customHeight="1">
      <c r="A115" s="639">
        <v>11130</v>
      </c>
      <c r="B115" s="627" t="s">
        <v>165</v>
      </c>
      <c r="C115" s="627" t="s">
        <v>139</v>
      </c>
      <c r="D115" s="627" t="s">
        <v>140</v>
      </c>
      <c r="E115" s="628">
        <v>2.25</v>
      </c>
      <c r="F115" s="628" t="s">
        <v>122</v>
      </c>
      <c r="G115" s="628">
        <v>0</v>
      </c>
      <c r="H115" s="628">
        <v>9</v>
      </c>
      <c r="I115" s="628">
        <v>11</v>
      </c>
      <c r="J115" s="628">
        <v>0</v>
      </c>
      <c r="K115" s="628">
        <v>20</v>
      </c>
      <c r="L115" s="628">
        <v>11</v>
      </c>
      <c r="M115" s="640">
        <v>24.75</v>
      </c>
    </row>
    <row r="116" spans="1:13" ht="15" customHeight="1">
      <c r="A116" s="641">
        <v>11130</v>
      </c>
      <c r="B116" s="629" t="s">
        <v>165</v>
      </c>
      <c r="C116" s="629" t="s">
        <v>77</v>
      </c>
      <c r="D116" s="629" t="s">
        <v>78</v>
      </c>
      <c r="E116" s="630">
        <v>2.25</v>
      </c>
      <c r="F116" s="630" t="s">
        <v>119</v>
      </c>
      <c r="G116" s="630">
        <v>0</v>
      </c>
      <c r="H116" s="630">
        <v>0</v>
      </c>
      <c r="I116" s="630">
        <v>7</v>
      </c>
      <c r="J116" s="630">
        <v>0</v>
      </c>
      <c r="K116" s="630">
        <v>7</v>
      </c>
      <c r="L116" s="630">
        <v>7</v>
      </c>
      <c r="M116" s="642">
        <v>15.75</v>
      </c>
    </row>
    <row r="117" spans="1:13" ht="15" customHeight="1">
      <c r="A117" s="639">
        <v>11130</v>
      </c>
      <c r="B117" s="627" t="s">
        <v>165</v>
      </c>
      <c r="C117" s="627" t="s">
        <v>77</v>
      </c>
      <c r="D117" s="627" t="s">
        <v>78</v>
      </c>
      <c r="E117" s="628">
        <v>2.25</v>
      </c>
      <c r="F117" s="628" t="s">
        <v>122</v>
      </c>
      <c r="G117" s="628">
        <v>0</v>
      </c>
      <c r="H117" s="628">
        <v>6</v>
      </c>
      <c r="I117" s="628">
        <v>15</v>
      </c>
      <c r="J117" s="628">
        <v>1</v>
      </c>
      <c r="K117" s="628">
        <v>22</v>
      </c>
      <c r="L117" s="628">
        <v>15.5</v>
      </c>
      <c r="M117" s="640">
        <v>34.88</v>
      </c>
    </row>
    <row r="118" spans="1:13" ht="15" customHeight="1">
      <c r="A118" s="641">
        <v>11130</v>
      </c>
      <c r="B118" s="629" t="s">
        <v>165</v>
      </c>
      <c r="C118" s="629" t="s">
        <v>145</v>
      </c>
      <c r="D118" s="629" t="s">
        <v>146</v>
      </c>
      <c r="E118" s="630">
        <v>1.65</v>
      </c>
      <c r="F118" s="630" t="s">
        <v>119</v>
      </c>
      <c r="G118" s="630">
        <v>0</v>
      </c>
      <c r="H118" s="630">
        <v>0</v>
      </c>
      <c r="I118" s="630">
        <v>1</v>
      </c>
      <c r="J118" s="630">
        <v>0</v>
      </c>
      <c r="K118" s="630">
        <v>1</v>
      </c>
      <c r="L118" s="630">
        <v>1</v>
      </c>
      <c r="M118" s="642">
        <v>1.65</v>
      </c>
    </row>
    <row r="119" spans="1:13" ht="15" customHeight="1">
      <c r="A119" s="639">
        <v>11130</v>
      </c>
      <c r="B119" s="627" t="s">
        <v>165</v>
      </c>
      <c r="C119" s="627" t="s">
        <v>145</v>
      </c>
      <c r="D119" s="627" t="s">
        <v>146</v>
      </c>
      <c r="E119" s="628">
        <v>1.65</v>
      </c>
      <c r="F119" s="628" t="s">
        <v>122</v>
      </c>
      <c r="G119" s="628">
        <v>0</v>
      </c>
      <c r="H119" s="628">
        <v>3</v>
      </c>
      <c r="I119" s="628">
        <v>5</v>
      </c>
      <c r="J119" s="628">
        <v>0</v>
      </c>
      <c r="K119" s="628">
        <v>8</v>
      </c>
      <c r="L119" s="628">
        <v>5</v>
      </c>
      <c r="M119" s="640">
        <v>8.25</v>
      </c>
    </row>
    <row r="120" spans="1:13" ht="15" customHeight="1">
      <c r="A120" s="641">
        <v>11130</v>
      </c>
      <c r="B120" s="629" t="s">
        <v>165</v>
      </c>
      <c r="C120" s="629" t="s">
        <v>13</v>
      </c>
      <c r="D120" s="629" t="s">
        <v>14</v>
      </c>
      <c r="E120" s="630">
        <v>2.8</v>
      </c>
      <c r="F120" s="630" t="s">
        <v>119</v>
      </c>
      <c r="G120" s="630">
        <v>0</v>
      </c>
      <c r="H120" s="630">
        <v>0</v>
      </c>
      <c r="I120" s="630">
        <v>10</v>
      </c>
      <c r="J120" s="630">
        <v>0</v>
      </c>
      <c r="K120" s="630">
        <v>10</v>
      </c>
      <c r="L120" s="630">
        <v>10</v>
      </c>
      <c r="M120" s="642">
        <v>28</v>
      </c>
    </row>
    <row r="121" spans="1:13" ht="15" customHeight="1">
      <c r="A121" s="639">
        <v>11130</v>
      </c>
      <c r="B121" s="627" t="s">
        <v>165</v>
      </c>
      <c r="C121" s="627" t="s">
        <v>13</v>
      </c>
      <c r="D121" s="627" t="s">
        <v>14</v>
      </c>
      <c r="E121" s="628">
        <v>2.8</v>
      </c>
      <c r="F121" s="628" t="s">
        <v>122</v>
      </c>
      <c r="G121" s="628">
        <v>0</v>
      </c>
      <c r="H121" s="628">
        <v>21</v>
      </c>
      <c r="I121" s="628">
        <v>40</v>
      </c>
      <c r="J121" s="628">
        <v>0</v>
      </c>
      <c r="K121" s="628">
        <v>61</v>
      </c>
      <c r="L121" s="628">
        <v>40</v>
      </c>
      <c r="M121" s="640">
        <v>112</v>
      </c>
    </row>
    <row r="122" spans="1:13" ht="15" customHeight="1">
      <c r="A122" s="641">
        <v>11130</v>
      </c>
      <c r="B122" s="629" t="s">
        <v>165</v>
      </c>
      <c r="C122" s="629" t="s">
        <v>15</v>
      </c>
      <c r="D122" s="629" t="s">
        <v>16</v>
      </c>
      <c r="E122" s="630">
        <v>2.25</v>
      </c>
      <c r="F122" s="630" t="s">
        <v>119</v>
      </c>
      <c r="G122" s="630">
        <v>0</v>
      </c>
      <c r="H122" s="630">
        <v>0</v>
      </c>
      <c r="I122" s="630">
        <v>12</v>
      </c>
      <c r="J122" s="630">
        <v>0</v>
      </c>
      <c r="K122" s="630">
        <v>12</v>
      </c>
      <c r="L122" s="630">
        <v>12</v>
      </c>
      <c r="M122" s="642">
        <v>27</v>
      </c>
    </row>
    <row r="123" spans="1:13" ht="15" customHeight="1">
      <c r="A123" s="639">
        <v>11130</v>
      </c>
      <c r="B123" s="627" t="s">
        <v>165</v>
      </c>
      <c r="C123" s="627" t="s">
        <v>15</v>
      </c>
      <c r="D123" s="627" t="s">
        <v>16</v>
      </c>
      <c r="E123" s="628">
        <v>2.25</v>
      </c>
      <c r="F123" s="628" t="s">
        <v>122</v>
      </c>
      <c r="G123" s="628">
        <v>0</v>
      </c>
      <c r="H123" s="628">
        <v>25</v>
      </c>
      <c r="I123" s="628">
        <v>40</v>
      </c>
      <c r="J123" s="628">
        <v>0</v>
      </c>
      <c r="K123" s="628">
        <v>65</v>
      </c>
      <c r="L123" s="628">
        <v>40</v>
      </c>
      <c r="M123" s="640">
        <v>90</v>
      </c>
    </row>
    <row r="124" spans="1:13" ht="15" customHeight="1">
      <c r="A124" s="641">
        <v>11130</v>
      </c>
      <c r="B124" s="629" t="s">
        <v>165</v>
      </c>
      <c r="C124" s="629" t="s">
        <v>149</v>
      </c>
      <c r="D124" s="629" t="s">
        <v>150</v>
      </c>
      <c r="E124" s="630">
        <v>2.8</v>
      </c>
      <c r="F124" s="630" t="s">
        <v>119</v>
      </c>
      <c r="G124" s="630">
        <v>0</v>
      </c>
      <c r="H124" s="630">
        <v>0</v>
      </c>
      <c r="I124" s="630">
        <v>13</v>
      </c>
      <c r="J124" s="630">
        <v>0</v>
      </c>
      <c r="K124" s="630">
        <v>13</v>
      </c>
      <c r="L124" s="630">
        <v>13</v>
      </c>
      <c r="M124" s="642">
        <v>36.4</v>
      </c>
    </row>
    <row r="125" spans="1:13" ht="15" customHeight="1">
      <c r="A125" s="639">
        <v>11130</v>
      </c>
      <c r="B125" s="627" t="s">
        <v>165</v>
      </c>
      <c r="C125" s="627" t="s">
        <v>149</v>
      </c>
      <c r="D125" s="627" t="s">
        <v>150</v>
      </c>
      <c r="E125" s="628">
        <v>2.8</v>
      </c>
      <c r="F125" s="628" t="s">
        <v>122</v>
      </c>
      <c r="G125" s="628">
        <v>0</v>
      </c>
      <c r="H125" s="628">
        <v>27</v>
      </c>
      <c r="I125" s="628">
        <v>31</v>
      </c>
      <c r="J125" s="628">
        <v>0</v>
      </c>
      <c r="K125" s="628">
        <v>58</v>
      </c>
      <c r="L125" s="628">
        <v>31</v>
      </c>
      <c r="M125" s="640">
        <v>86.8</v>
      </c>
    </row>
    <row r="126" spans="1:13" ht="15" customHeight="1">
      <c r="A126" s="641">
        <v>11130</v>
      </c>
      <c r="B126" s="629" t="s">
        <v>165</v>
      </c>
      <c r="C126" s="629" t="s">
        <v>151</v>
      </c>
      <c r="D126" s="629" t="s">
        <v>152</v>
      </c>
      <c r="E126" s="630">
        <v>2.8</v>
      </c>
      <c r="F126" s="630" t="s">
        <v>119</v>
      </c>
      <c r="G126" s="630">
        <v>0</v>
      </c>
      <c r="H126" s="630">
        <v>0</v>
      </c>
      <c r="I126" s="630">
        <v>3</v>
      </c>
      <c r="J126" s="630">
        <v>0</v>
      </c>
      <c r="K126" s="630">
        <v>3</v>
      </c>
      <c r="L126" s="630">
        <v>3</v>
      </c>
      <c r="M126" s="642">
        <v>8.4</v>
      </c>
    </row>
    <row r="127" spans="1:13" ht="15" customHeight="1">
      <c r="A127" s="639">
        <v>11130</v>
      </c>
      <c r="B127" s="627" t="s">
        <v>165</v>
      </c>
      <c r="C127" s="627" t="s">
        <v>151</v>
      </c>
      <c r="D127" s="627" t="s">
        <v>152</v>
      </c>
      <c r="E127" s="628">
        <v>2.8</v>
      </c>
      <c r="F127" s="628" t="s">
        <v>122</v>
      </c>
      <c r="G127" s="628">
        <v>0</v>
      </c>
      <c r="H127" s="628">
        <v>6</v>
      </c>
      <c r="I127" s="628">
        <v>10</v>
      </c>
      <c r="J127" s="628">
        <v>1</v>
      </c>
      <c r="K127" s="628">
        <v>17</v>
      </c>
      <c r="L127" s="628">
        <v>10.5</v>
      </c>
      <c r="M127" s="640">
        <v>29.4</v>
      </c>
    </row>
    <row r="128" spans="1:13" ht="15" customHeight="1">
      <c r="A128" s="641">
        <v>11130</v>
      </c>
      <c r="B128" s="629" t="s">
        <v>165</v>
      </c>
      <c r="C128" s="629" t="s">
        <v>153</v>
      </c>
      <c r="D128" s="629" t="s">
        <v>154</v>
      </c>
      <c r="E128" s="630">
        <v>2.8</v>
      </c>
      <c r="F128" s="630" t="s">
        <v>122</v>
      </c>
      <c r="G128" s="630">
        <v>0</v>
      </c>
      <c r="H128" s="630">
        <v>3</v>
      </c>
      <c r="I128" s="630">
        <v>3</v>
      </c>
      <c r="J128" s="630">
        <v>0</v>
      </c>
      <c r="K128" s="630">
        <v>6</v>
      </c>
      <c r="L128" s="630">
        <v>3</v>
      </c>
      <c r="M128" s="642">
        <v>8.4</v>
      </c>
    </row>
    <row r="129" spans="1:13" ht="15" customHeight="1">
      <c r="A129" s="639">
        <v>11130</v>
      </c>
      <c r="B129" s="627" t="s">
        <v>165</v>
      </c>
      <c r="C129" s="627" t="s">
        <v>157</v>
      </c>
      <c r="D129" s="627" t="s">
        <v>158</v>
      </c>
      <c r="E129" s="628">
        <v>2.8</v>
      </c>
      <c r="F129" s="628" t="s">
        <v>119</v>
      </c>
      <c r="G129" s="628">
        <v>0</v>
      </c>
      <c r="H129" s="628">
        <v>1</v>
      </c>
      <c r="I129" s="628">
        <v>2</v>
      </c>
      <c r="J129" s="628">
        <v>0</v>
      </c>
      <c r="K129" s="628">
        <v>3</v>
      </c>
      <c r="L129" s="628">
        <v>2</v>
      </c>
      <c r="M129" s="640">
        <v>5.6</v>
      </c>
    </row>
    <row r="130" spans="1:13" ht="15" customHeight="1">
      <c r="A130" s="641">
        <v>11130</v>
      </c>
      <c r="B130" s="629" t="s">
        <v>165</v>
      </c>
      <c r="C130" s="629" t="s">
        <v>157</v>
      </c>
      <c r="D130" s="629" t="s">
        <v>158</v>
      </c>
      <c r="E130" s="630">
        <v>2.8</v>
      </c>
      <c r="F130" s="630" t="s">
        <v>122</v>
      </c>
      <c r="G130" s="630">
        <v>0</v>
      </c>
      <c r="H130" s="630">
        <v>3</v>
      </c>
      <c r="I130" s="630">
        <v>5</v>
      </c>
      <c r="J130" s="630">
        <v>0</v>
      </c>
      <c r="K130" s="630">
        <v>8</v>
      </c>
      <c r="L130" s="630">
        <v>5</v>
      </c>
      <c r="M130" s="642">
        <v>14</v>
      </c>
    </row>
    <row r="131" spans="1:13" ht="15" customHeight="1">
      <c r="A131" s="639">
        <v>11130</v>
      </c>
      <c r="B131" s="627" t="s">
        <v>165</v>
      </c>
      <c r="C131" s="627" t="s">
        <v>161</v>
      </c>
      <c r="D131" s="627" t="s">
        <v>162</v>
      </c>
      <c r="E131" s="628">
        <v>2.25</v>
      </c>
      <c r="F131" s="628" t="s">
        <v>119</v>
      </c>
      <c r="G131" s="628">
        <v>0</v>
      </c>
      <c r="H131" s="628">
        <v>0</v>
      </c>
      <c r="I131" s="628">
        <v>4</v>
      </c>
      <c r="J131" s="628">
        <v>0</v>
      </c>
      <c r="K131" s="628">
        <v>4</v>
      </c>
      <c r="L131" s="628">
        <v>4</v>
      </c>
      <c r="M131" s="640">
        <v>9</v>
      </c>
    </row>
    <row r="132" spans="1:13" ht="15" customHeight="1">
      <c r="A132" s="641">
        <v>11130</v>
      </c>
      <c r="B132" s="629" t="s">
        <v>165</v>
      </c>
      <c r="C132" s="629" t="s">
        <v>161</v>
      </c>
      <c r="D132" s="629" t="s">
        <v>162</v>
      </c>
      <c r="E132" s="630">
        <v>2.25</v>
      </c>
      <c r="F132" s="630" t="s">
        <v>122</v>
      </c>
      <c r="G132" s="630">
        <v>0</v>
      </c>
      <c r="H132" s="630">
        <v>0</v>
      </c>
      <c r="I132" s="630">
        <v>1</v>
      </c>
      <c r="J132" s="630">
        <v>0</v>
      </c>
      <c r="K132" s="630">
        <v>1</v>
      </c>
      <c r="L132" s="630">
        <v>1</v>
      </c>
      <c r="M132" s="642">
        <v>2.25</v>
      </c>
    </row>
    <row r="133" spans="1:13" ht="15" customHeight="1">
      <c r="A133" s="643">
        <v>11130</v>
      </c>
      <c r="B133" s="631" t="s">
        <v>163</v>
      </c>
      <c r="C133" s="631"/>
      <c r="D133" s="631"/>
      <c r="E133" s="631"/>
      <c r="F133" s="632" t="s">
        <v>132</v>
      </c>
      <c r="G133" s="632">
        <v>50</v>
      </c>
      <c r="H133" s="632">
        <v>1</v>
      </c>
      <c r="I133" s="632">
        <v>22</v>
      </c>
      <c r="J133" s="632">
        <v>1</v>
      </c>
      <c r="K133" s="632">
        <v>74</v>
      </c>
      <c r="L133" s="632"/>
      <c r="M133" s="644"/>
    </row>
    <row r="134" spans="1:13" ht="15" customHeight="1">
      <c r="A134" s="643">
        <v>11130</v>
      </c>
      <c r="B134" s="631" t="s">
        <v>163</v>
      </c>
      <c r="C134" s="631"/>
      <c r="D134" s="631"/>
      <c r="E134" s="631"/>
      <c r="F134" s="632" t="s">
        <v>109</v>
      </c>
      <c r="G134" s="632">
        <v>0</v>
      </c>
      <c r="H134" s="632">
        <v>8</v>
      </c>
      <c r="I134" s="632">
        <v>83</v>
      </c>
      <c r="J134" s="632">
        <v>2</v>
      </c>
      <c r="K134" s="632">
        <v>93</v>
      </c>
      <c r="L134" s="632"/>
      <c r="M134" s="644"/>
    </row>
    <row r="135" spans="1:13" ht="15" customHeight="1">
      <c r="A135" s="643">
        <v>11130</v>
      </c>
      <c r="B135" s="631" t="s">
        <v>163</v>
      </c>
      <c r="C135" s="631"/>
      <c r="D135" s="631"/>
      <c r="E135" s="631"/>
      <c r="F135" s="632" t="s">
        <v>110</v>
      </c>
      <c r="G135" s="632">
        <v>126</v>
      </c>
      <c r="H135" s="632">
        <v>0</v>
      </c>
      <c r="I135" s="632">
        <v>46</v>
      </c>
      <c r="J135" s="632">
        <v>0</v>
      </c>
      <c r="K135" s="632">
        <v>172</v>
      </c>
      <c r="L135" s="632"/>
      <c r="M135" s="644"/>
    </row>
    <row r="136" spans="1:13" ht="15" customHeight="1">
      <c r="A136" s="643">
        <v>11130</v>
      </c>
      <c r="B136" s="631" t="s">
        <v>163</v>
      </c>
      <c r="C136" s="631"/>
      <c r="D136" s="631"/>
      <c r="E136" s="631"/>
      <c r="F136" s="632" t="s">
        <v>113</v>
      </c>
      <c r="G136" s="632">
        <v>0</v>
      </c>
      <c r="H136" s="632">
        <v>11</v>
      </c>
      <c r="I136" s="632">
        <v>790</v>
      </c>
      <c r="J136" s="632">
        <v>2</v>
      </c>
      <c r="K136" s="632">
        <v>803</v>
      </c>
      <c r="L136" s="632"/>
      <c r="M136" s="644"/>
    </row>
    <row r="137" spans="1:13" ht="15" customHeight="1">
      <c r="A137" s="643">
        <v>11130</v>
      </c>
      <c r="B137" s="631" t="s">
        <v>163</v>
      </c>
      <c r="C137" s="631"/>
      <c r="D137" s="631"/>
      <c r="E137" s="631"/>
      <c r="F137" s="632" t="s">
        <v>116</v>
      </c>
      <c r="G137" s="632">
        <v>0</v>
      </c>
      <c r="H137" s="632">
        <v>0</v>
      </c>
      <c r="I137" s="632">
        <v>28</v>
      </c>
      <c r="J137" s="632">
        <v>0</v>
      </c>
      <c r="K137" s="632">
        <v>28</v>
      </c>
      <c r="L137" s="632"/>
      <c r="M137" s="644"/>
    </row>
    <row r="138" spans="1:13" ht="15" customHeight="1">
      <c r="A138" s="643">
        <v>11130</v>
      </c>
      <c r="B138" s="631" t="s">
        <v>163</v>
      </c>
      <c r="C138" s="631"/>
      <c r="D138" s="631"/>
      <c r="E138" s="631"/>
      <c r="F138" s="632" t="s">
        <v>114</v>
      </c>
      <c r="G138" s="632">
        <v>0</v>
      </c>
      <c r="H138" s="632">
        <v>0</v>
      </c>
      <c r="I138" s="632">
        <v>28</v>
      </c>
      <c r="J138" s="632">
        <v>0</v>
      </c>
      <c r="K138" s="632">
        <v>28</v>
      </c>
      <c r="L138" s="632"/>
      <c r="M138" s="644"/>
    </row>
    <row r="139" spans="1:13" ht="15" customHeight="1">
      <c r="A139" s="643">
        <v>11130</v>
      </c>
      <c r="B139" s="631" t="s">
        <v>163</v>
      </c>
      <c r="C139" s="631"/>
      <c r="D139" s="631"/>
      <c r="E139" s="631"/>
      <c r="F139" s="632" t="s">
        <v>119</v>
      </c>
      <c r="G139" s="632">
        <v>0</v>
      </c>
      <c r="H139" s="632">
        <v>1</v>
      </c>
      <c r="I139" s="632">
        <v>58</v>
      </c>
      <c r="J139" s="632">
        <v>0</v>
      </c>
      <c r="K139" s="632">
        <v>59</v>
      </c>
      <c r="L139" s="632"/>
      <c r="M139" s="644"/>
    </row>
    <row r="140" spans="1:13" ht="15" customHeight="1">
      <c r="A140" s="643">
        <v>11130</v>
      </c>
      <c r="B140" s="631" t="s">
        <v>163</v>
      </c>
      <c r="C140" s="631"/>
      <c r="D140" s="631"/>
      <c r="E140" s="631"/>
      <c r="F140" s="632" t="s">
        <v>122</v>
      </c>
      <c r="G140" s="632">
        <v>0</v>
      </c>
      <c r="H140" s="632">
        <v>109</v>
      </c>
      <c r="I140" s="632">
        <v>174</v>
      </c>
      <c r="J140" s="632">
        <v>2</v>
      </c>
      <c r="K140" s="632">
        <v>285</v>
      </c>
      <c r="L140" s="632"/>
      <c r="M140" s="644"/>
    </row>
    <row r="141" spans="1:13" ht="15" customHeight="1">
      <c r="A141" s="639">
        <v>11140</v>
      </c>
      <c r="B141" s="627" t="s">
        <v>118</v>
      </c>
      <c r="C141" s="627" t="s">
        <v>9</v>
      </c>
      <c r="D141" s="627" t="s">
        <v>10</v>
      </c>
      <c r="E141" s="628">
        <v>2.8</v>
      </c>
      <c r="F141" s="628" t="s">
        <v>110</v>
      </c>
      <c r="G141" s="628">
        <v>139</v>
      </c>
      <c r="H141" s="628">
        <v>1</v>
      </c>
      <c r="I141" s="628">
        <v>106</v>
      </c>
      <c r="J141" s="628">
        <v>3</v>
      </c>
      <c r="K141" s="628">
        <v>249</v>
      </c>
      <c r="L141" s="628">
        <v>246.5</v>
      </c>
      <c r="M141" s="640">
        <v>690.2</v>
      </c>
    </row>
    <row r="142" spans="1:13" ht="15" customHeight="1">
      <c r="A142" s="641">
        <v>11140</v>
      </c>
      <c r="B142" s="629" t="s">
        <v>118</v>
      </c>
      <c r="C142" s="629" t="s">
        <v>9</v>
      </c>
      <c r="D142" s="629" t="s">
        <v>10</v>
      </c>
      <c r="E142" s="630">
        <v>2.8</v>
      </c>
      <c r="F142" s="630" t="s">
        <v>113</v>
      </c>
      <c r="G142" s="630">
        <v>0</v>
      </c>
      <c r="H142" s="630">
        <v>57</v>
      </c>
      <c r="I142" s="630">
        <v>924</v>
      </c>
      <c r="J142" s="630">
        <v>10</v>
      </c>
      <c r="K142" s="630">
        <v>991</v>
      </c>
      <c r="L142" s="630">
        <v>929</v>
      </c>
      <c r="M142" s="642">
        <v>2601.2</v>
      </c>
    </row>
    <row r="143" spans="1:13" ht="15" customHeight="1">
      <c r="A143" s="639">
        <v>11140</v>
      </c>
      <c r="B143" s="627" t="s">
        <v>118</v>
      </c>
      <c r="C143" s="627" t="s">
        <v>11</v>
      </c>
      <c r="D143" s="627" t="s">
        <v>12</v>
      </c>
      <c r="E143" s="628">
        <v>3.5</v>
      </c>
      <c r="F143" s="628" t="s">
        <v>110</v>
      </c>
      <c r="G143" s="628">
        <v>25</v>
      </c>
      <c r="H143" s="628">
        <v>1</v>
      </c>
      <c r="I143" s="628">
        <v>29</v>
      </c>
      <c r="J143" s="628">
        <v>0</v>
      </c>
      <c r="K143" s="628">
        <v>55</v>
      </c>
      <c r="L143" s="628">
        <v>54</v>
      </c>
      <c r="M143" s="640">
        <v>189</v>
      </c>
    </row>
    <row r="144" spans="1:13" ht="15" customHeight="1">
      <c r="A144" s="641">
        <v>11140</v>
      </c>
      <c r="B144" s="629" t="s">
        <v>118</v>
      </c>
      <c r="C144" s="629" t="s">
        <v>11</v>
      </c>
      <c r="D144" s="629" t="s">
        <v>12</v>
      </c>
      <c r="E144" s="630">
        <v>3.5</v>
      </c>
      <c r="F144" s="630" t="s">
        <v>113</v>
      </c>
      <c r="G144" s="630">
        <v>0</v>
      </c>
      <c r="H144" s="630">
        <v>11</v>
      </c>
      <c r="I144" s="630">
        <v>172</v>
      </c>
      <c r="J144" s="630">
        <v>8</v>
      </c>
      <c r="K144" s="630">
        <v>191</v>
      </c>
      <c r="L144" s="630">
        <v>176</v>
      </c>
      <c r="M144" s="642">
        <v>616</v>
      </c>
    </row>
    <row r="145" spans="1:13" ht="15" customHeight="1">
      <c r="A145" s="639">
        <v>11140</v>
      </c>
      <c r="B145" s="627" t="s">
        <v>118</v>
      </c>
      <c r="C145" s="627" t="s">
        <v>135</v>
      </c>
      <c r="D145" s="627" t="s">
        <v>136</v>
      </c>
      <c r="E145" s="628">
        <v>2.8</v>
      </c>
      <c r="F145" s="628" t="s">
        <v>122</v>
      </c>
      <c r="G145" s="628">
        <v>0</v>
      </c>
      <c r="H145" s="628">
        <v>0</v>
      </c>
      <c r="I145" s="628">
        <v>2</v>
      </c>
      <c r="J145" s="628">
        <v>1</v>
      </c>
      <c r="K145" s="628">
        <v>3</v>
      </c>
      <c r="L145" s="628">
        <v>2.5</v>
      </c>
      <c r="M145" s="640">
        <v>7</v>
      </c>
    </row>
    <row r="146" spans="1:13" ht="15" customHeight="1">
      <c r="A146" s="641">
        <v>11140</v>
      </c>
      <c r="B146" s="629" t="s">
        <v>118</v>
      </c>
      <c r="C146" s="629" t="s">
        <v>120</v>
      </c>
      <c r="D146" s="629" t="s">
        <v>121</v>
      </c>
      <c r="E146" s="630">
        <v>2.8</v>
      </c>
      <c r="F146" s="630" t="s">
        <v>119</v>
      </c>
      <c r="G146" s="630">
        <v>0</v>
      </c>
      <c r="H146" s="630">
        <v>0</v>
      </c>
      <c r="I146" s="630">
        <v>4</v>
      </c>
      <c r="J146" s="630">
        <v>0</v>
      </c>
      <c r="K146" s="630">
        <v>4</v>
      </c>
      <c r="L146" s="630">
        <v>4</v>
      </c>
      <c r="M146" s="642">
        <v>11.2</v>
      </c>
    </row>
    <row r="147" spans="1:13" ht="15" customHeight="1">
      <c r="A147" s="639">
        <v>11140</v>
      </c>
      <c r="B147" s="627" t="s">
        <v>118</v>
      </c>
      <c r="C147" s="627" t="s">
        <v>120</v>
      </c>
      <c r="D147" s="627" t="s">
        <v>121</v>
      </c>
      <c r="E147" s="628">
        <v>2.8</v>
      </c>
      <c r="F147" s="628" t="s">
        <v>122</v>
      </c>
      <c r="G147" s="628">
        <v>0</v>
      </c>
      <c r="H147" s="628">
        <v>0</v>
      </c>
      <c r="I147" s="628">
        <v>3</v>
      </c>
      <c r="J147" s="628">
        <v>0</v>
      </c>
      <c r="K147" s="628">
        <v>3</v>
      </c>
      <c r="L147" s="628">
        <v>3</v>
      </c>
      <c r="M147" s="640">
        <v>8.4</v>
      </c>
    </row>
    <row r="148" spans="1:13" ht="15" customHeight="1">
      <c r="A148" s="641">
        <v>11140</v>
      </c>
      <c r="B148" s="629" t="s">
        <v>118</v>
      </c>
      <c r="C148" s="629" t="s">
        <v>25</v>
      </c>
      <c r="D148" s="629" t="s">
        <v>26</v>
      </c>
      <c r="E148" s="630">
        <v>2.8</v>
      </c>
      <c r="F148" s="630" t="s">
        <v>119</v>
      </c>
      <c r="G148" s="630">
        <v>0</v>
      </c>
      <c r="H148" s="630">
        <v>0</v>
      </c>
      <c r="I148" s="630">
        <v>4</v>
      </c>
      <c r="J148" s="630">
        <v>0</v>
      </c>
      <c r="K148" s="630">
        <v>4</v>
      </c>
      <c r="L148" s="630">
        <v>4</v>
      </c>
      <c r="M148" s="642">
        <v>11.2</v>
      </c>
    </row>
    <row r="149" spans="1:13" ht="15" customHeight="1">
      <c r="A149" s="639">
        <v>11140</v>
      </c>
      <c r="B149" s="627" t="s">
        <v>118</v>
      </c>
      <c r="C149" s="627" t="s">
        <v>25</v>
      </c>
      <c r="D149" s="627" t="s">
        <v>26</v>
      </c>
      <c r="E149" s="628">
        <v>2.8</v>
      </c>
      <c r="F149" s="628" t="s">
        <v>122</v>
      </c>
      <c r="G149" s="628">
        <v>0</v>
      </c>
      <c r="H149" s="628">
        <v>4</v>
      </c>
      <c r="I149" s="628">
        <v>15</v>
      </c>
      <c r="J149" s="628">
        <v>0</v>
      </c>
      <c r="K149" s="628">
        <v>19</v>
      </c>
      <c r="L149" s="628">
        <v>15</v>
      </c>
      <c r="M149" s="640">
        <v>42</v>
      </c>
    </row>
    <row r="150" spans="1:13" ht="15" customHeight="1">
      <c r="A150" s="641">
        <v>11140</v>
      </c>
      <c r="B150" s="629" t="s">
        <v>118</v>
      </c>
      <c r="C150" s="629" t="s">
        <v>170</v>
      </c>
      <c r="D150" s="629" t="s">
        <v>171</v>
      </c>
      <c r="E150" s="630">
        <v>2.8</v>
      </c>
      <c r="F150" s="630" t="s">
        <v>119</v>
      </c>
      <c r="G150" s="630">
        <v>0</v>
      </c>
      <c r="H150" s="630">
        <v>0</v>
      </c>
      <c r="I150" s="630">
        <v>1</v>
      </c>
      <c r="J150" s="630">
        <v>0</v>
      </c>
      <c r="K150" s="630">
        <v>1</v>
      </c>
      <c r="L150" s="630">
        <v>1</v>
      </c>
      <c r="M150" s="642">
        <v>2.8</v>
      </c>
    </row>
    <row r="151" spans="1:13" ht="15" customHeight="1">
      <c r="A151" s="639">
        <v>11140</v>
      </c>
      <c r="B151" s="627" t="s">
        <v>118</v>
      </c>
      <c r="C151" s="627" t="s">
        <v>170</v>
      </c>
      <c r="D151" s="627" t="s">
        <v>171</v>
      </c>
      <c r="E151" s="628">
        <v>2.8</v>
      </c>
      <c r="F151" s="628" t="s">
        <v>122</v>
      </c>
      <c r="G151" s="628">
        <v>0</v>
      </c>
      <c r="H151" s="628">
        <v>3</v>
      </c>
      <c r="I151" s="628">
        <v>6</v>
      </c>
      <c r="J151" s="628">
        <v>0</v>
      </c>
      <c r="K151" s="628">
        <v>9</v>
      </c>
      <c r="L151" s="628">
        <v>6</v>
      </c>
      <c r="M151" s="640">
        <v>16.8</v>
      </c>
    </row>
    <row r="152" spans="1:13" ht="15" customHeight="1">
      <c r="A152" s="641">
        <v>11140</v>
      </c>
      <c r="B152" s="629" t="s">
        <v>118</v>
      </c>
      <c r="C152" s="629" t="s">
        <v>172</v>
      </c>
      <c r="D152" s="629" t="s">
        <v>173</v>
      </c>
      <c r="E152" s="630">
        <v>2.8</v>
      </c>
      <c r="F152" s="630" t="s">
        <v>119</v>
      </c>
      <c r="G152" s="630">
        <v>0</v>
      </c>
      <c r="H152" s="630">
        <v>0</v>
      </c>
      <c r="I152" s="630">
        <v>2</v>
      </c>
      <c r="J152" s="630">
        <v>0</v>
      </c>
      <c r="K152" s="630">
        <v>2</v>
      </c>
      <c r="L152" s="630">
        <v>2</v>
      </c>
      <c r="M152" s="642">
        <v>5.6</v>
      </c>
    </row>
    <row r="153" spans="1:13" ht="15" customHeight="1">
      <c r="A153" s="639">
        <v>11140</v>
      </c>
      <c r="B153" s="627" t="s">
        <v>118</v>
      </c>
      <c r="C153" s="627" t="s">
        <v>172</v>
      </c>
      <c r="D153" s="627" t="s">
        <v>173</v>
      </c>
      <c r="E153" s="628">
        <v>2.8</v>
      </c>
      <c r="F153" s="628" t="s">
        <v>122</v>
      </c>
      <c r="G153" s="628">
        <v>0</v>
      </c>
      <c r="H153" s="628">
        <v>4</v>
      </c>
      <c r="I153" s="628">
        <v>10</v>
      </c>
      <c r="J153" s="628">
        <v>0</v>
      </c>
      <c r="K153" s="628">
        <v>14</v>
      </c>
      <c r="L153" s="628">
        <v>10</v>
      </c>
      <c r="M153" s="640">
        <v>28</v>
      </c>
    </row>
    <row r="154" spans="1:13" ht="15" customHeight="1">
      <c r="A154" s="641">
        <v>11140</v>
      </c>
      <c r="B154" s="629" t="s">
        <v>118</v>
      </c>
      <c r="C154" s="629" t="s">
        <v>174</v>
      </c>
      <c r="D154" s="629" t="s">
        <v>175</v>
      </c>
      <c r="E154" s="630">
        <v>2.8</v>
      </c>
      <c r="F154" s="630" t="s">
        <v>119</v>
      </c>
      <c r="G154" s="630">
        <v>0</v>
      </c>
      <c r="H154" s="630">
        <v>0</v>
      </c>
      <c r="I154" s="630">
        <v>2</v>
      </c>
      <c r="J154" s="630">
        <v>0</v>
      </c>
      <c r="K154" s="630">
        <v>2</v>
      </c>
      <c r="L154" s="630">
        <v>2</v>
      </c>
      <c r="M154" s="642">
        <v>5.6</v>
      </c>
    </row>
    <row r="155" spans="1:13" ht="15" customHeight="1">
      <c r="A155" s="639">
        <v>11140</v>
      </c>
      <c r="B155" s="627" t="s">
        <v>118</v>
      </c>
      <c r="C155" s="627" t="s">
        <v>174</v>
      </c>
      <c r="D155" s="627" t="s">
        <v>175</v>
      </c>
      <c r="E155" s="628">
        <v>2.8</v>
      </c>
      <c r="F155" s="628" t="s">
        <v>122</v>
      </c>
      <c r="G155" s="628">
        <v>0</v>
      </c>
      <c r="H155" s="628">
        <v>4</v>
      </c>
      <c r="I155" s="628">
        <v>2</v>
      </c>
      <c r="J155" s="628">
        <v>0</v>
      </c>
      <c r="K155" s="628">
        <v>6</v>
      </c>
      <c r="L155" s="628">
        <v>2</v>
      </c>
      <c r="M155" s="640">
        <v>5.6</v>
      </c>
    </row>
    <row r="156" spans="1:13" ht="15" customHeight="1">
      <c r="A156" s="641">
        <v>11140</v>
      </c>
      <c r="B156" s="629" t="s">
        <v>118</v>
      </c>
      <c r="C156" s="629" t="s">
        <v>27</v>
      </c>
      <c r="D156" s="629" t="s">
        <v>28</v>
      </c>
      <c r="E156" s="630">
        <v>2.8</v>
      </c>
      <c r="F156" s="630" t="s">
        <v>119</v>
      </c>
      <c r="G156" s="630">
        <v>0</v>
      </c>
      <c r="H156" s="630">
        <v>0</v>
      </c>
      <c r="I156" s="630">
        <v>1</v>
      </c>
      <c r="J156" s="630">
        <v>0</v>
      </c>
      <c r="K156" s="630">
        <v>1</v>
      </c>
      <c r="L156" s="630">
        <v>1</v>
      </c>
      <c r="M156" s="642">
        <v>2.8</v>
      </c>
    </row>
    <row r="157" spans="1:13" ht="15" customHeight="1">
      <c r="A157" s="639">
        <v>11140</v>
      </c>
      <c r="B157" s="627" t="s">
        <v>118</v>
      </c>
      <c r="C157" s="627" t="s">
        <v>27</v>
      </c>
      <c r="D157" s="627" t="s">
        <v>28</v>
      </c>
      <c r="E157" s="628">
        <v>2.8</v>
      </c>
      <c r="F157" s="628" t="s">
        <v>122</v>
      </c>
      <c r="G157" s="628">
        <v>0</v>
      </c>
      <c r="H157" s="628">
        <v>6</v>
      </c>
      <c r="I157" s="628">
        <v>13</v>
      </c>
      <c r="J157" s="628">
        <v>0</v>
      </c>
      <c r="K157" s="628">
        <v>19</v>
      </c>
      <c r="L157" s="628">
        <v>13</v>
      </c>
      <c r="M157" s="640">
        <v>36.4</v>
      </c>
    </row>
    <row r="158" spans="1:13" ht="15" customHeight="1">
      <c r="A158" s="641">
        <v>11140</v>
      </c>
      <c r="B158" s="629" t="s">
        <v>118</v>
      </c>
      <c r="C158" s="629" t="s">
        <v>176</v>
      </c>
      <c r="D158" s="629" t="s">
        <v>177</v>
      </c>
      <c r="E158" s="630">
        <v>2.8</v>
      </c>
      <c r="F158" s="630" t="s">
        <v>119</v>
      </c>
      <c r="G158" s="630">
        <v>0</v>
      </c>
      <c r="H158" s="630">
        <v>0</v>
      </c>
      <c r="I158" s="630">
        <v>1</v>
      </c>
      <c r="J158" s="630">
        <v>0</v>
      </c>
      <c r="K158" s="630">
        <v>1</v>
      </c>
      <c r="L158" s="630">
        <v>1</v>
      </c>
      <c r="M158" s="642">
        <v>2.8</v>
      </c>
    </row>
    <row r="159" spans="1:13" ht="15" customHeight="1">
      <c r="A159" s="639">
        <v>11140</v>
      </c>
      <c r="B159" s="627" t="s">
        <v>118</v>
      </c>
      <c r="C159" s="627" t="s">
        <v>176</v>
      </c>
      <c r="D159" s="627" t="s">
        <v>177</v>
      </c>
      <c r="E159" s="628">
        <v>2.8</v>
      </c>
      <c r="F159" s="628" t="s">
        <v>122</v>
      </c>
      <c r="G159" s="628">
        <v>0</v>
      </c>
      <c r="H159" s="628">
        <v>1</v>
      </c>
      <c r="I159" s="628">
        <v>0</v>
      </c>
      <c r="J159" s="628">
        <v>0</v>
      </c>
      <c r="K159" s="628">
        <v>1</v>
      </c>
      <c r="L159" s="628">
        <v>0</v>
      </c>
      <c r="M159" s="640">
        <v>0</v>
      </c>
    </row>
    <row r="160" spans="1:13" ht="15" customHeight="1">
      <c r="A160" s="641">
        <v>11140</v>
      </c>
      <c r="B160" s="629" t="s">
        <v>118</v>
      </c>
      <c r="C160" s="629" t="s">
        <v>178</v>
      </c>
      <c r="D160" s="629" t="s">
        <v>179</v>
      </c>
      <c r="E160" s="630">
        <v>2.8</v>
      </c>
      <c r="F160" s="630" t="s">
        <v>122</v>
      </c>
      <c r="G160" s="630">
        <v>0</v>
      </c>
      <c r="H160" s="630">
        <v>3</v>
      </c>
      <c r="I160" s="630">
        <v>2</v>
      </c>
      <c r="J160" s="630">
        <v>0</v>
      </c>
      <c r="K160" s="630">
        <v>5</v>
      </c>
      <c r="L160" s="630">
        <v>2</v>
      </c>
      <c r="M160" s="642">
        <v>5.6</v>
      </c>
    </row>
    <row r="161" spans="1:13" ht="15" customHeight="1">
      <c r="A161" s="639">
        <v>11140</v>
      </c>
      <c r="B161" s="627" t="s">
        <v>118</v>
      </c>
      <c r="C161" s="627" t="s">
        <v>180</v>
      </c>
      <c r="D161" s="627" t="s">
        <v>181</v>
      </c>
      <c r="E161" s="628">
        <v>1</v>
      </c>
      <c r="F161" s="628" t="s">
        <v>119</v>
      </c>
      <c r="G161" s="628">
        <v>0</v>
      </c>
      <c r="H161" s="628">
        <v>1</v>
      </c>
      <c r="I161" s="628">
        <v>3</v>
      </c>
      <c r="J161" s="628">
        <v>0</v>
      </c>
      <c r="K161" s="628">
        <v>4</v>
      </c>
      <c r="L161" s="628">
        <v>3</v>
      </c>
      <c r="M161" s="640">
        <v>3</v>
      </c>
    </row>
    <row r="162" spans="1:13" ht="15" customHeight="1">
      <c r="A162" s="641">
        <v>11140</v>
      </c>
      <c r="B162" s="629" t="s">
        <v>118</v>
      </c>
      <c r="C162" s="629" t="s">
        <v>180</v>
      </c>
      <c r="D162" s="629" t="s">
        <v>181</v>
      </c>
      <c r="E162" s="630">
        <v>1</v>
      </c>
      <c r="F162" s="630" t="s">
        <v>122</v>
      </c>
      <c r="G162" s="630">
        <v>0</v>
      </c>
      <c r="H162" s="630">
        <v>1</v>
      </c>
      <c r="I162" s="630">
        <v>6</v>
      </c>
      <c r="J162" s="630">
        <v>0</v>
      </c>
      <c r="K162" s="630">
        <v>7</v>
      </c>
      <c r="L162" s="630">
        <v>6</v>
      </c>
      <c r="M162" s="642">
        <v>6</v>
      </c>
    </row>
    <row r="163" spans="1:13" ht="15" customHeight="1">
      <c r="A163" s="639">
        <v>11140</v>
      </c>
      <c r="B163" s="627" t="s">
        <v>118</v>
      </c>
      <c r="C163" s="627" t="s">
        <v>29</v>
      </c>
      <c r="D163" s="627" t="s">
        <v>30</v>
      </c>
      <c r="E163" s="628">
        <v>2.8</v>
      </c>
      <c r="F163" s="628" t="s">
        <v>119</v>
      </c>
      <c r="G163" s="628">
        <v>0</v>
      </c>
      <c r="H163" s="628">
        <v>0</v>
      </c>
      <c r="I163" s="628">
        <v>5</v>
      </c>
      <c r="J163" s="628">
        <v>0</v>
      </c>
      <c r="K163" s="628">
        <v>5</v>
      </c>
      <c r="L163" s="628">
        <v>5</v>
      </c>
      <c r="M163" s="640">
        <v>14</v>
      </c>
    </row>
    <row r="164" spans="1:13" ht="15" customHeight="1">
      <c r="A164" s="641">
        <v>11140</v>
      </c>
      <c r="B164" s="629" t="s">
        <v>118</v>
      </c>
      <c r="C164" s="629" t="s">
        <v>29</v>
      </c>
      <c r="D164" s="629" t="s">
        <v>30</v>
      </c>
      <c r="E164" s="630">
        <v>2.8</v>
      </c>
      <c r="F164" s="630" t="s">
        <v>122</v>
      </c>
      <c r="G164" s="630">
        <v>0</v>
      </c>
      <c r="H164" s="630">
        <v>13</v>
      </c>
      <c r="I164" s="630">
        <v>15</v>
      </c>
      <c r="J164" s="630">
        <v>0</v>
      </c>
      <c r="K164" s="630">
        <v>28</v>
      </c>
      <c r="L164" s="630">
        <v>15</v>
      </c>
      <c r="M164" s="642">
        <v>42</v>
      </c>
    </row>
    <row r="165" spans="1:13" ht="15" customHeight="1">
      <c r="A165" s="639">
        <v>11140</v>
      </c>
      <c r="B165" s="627" t="s">
        <v>118</v>
      </c>
      <c r="C165" s="627" t="s">
        <v>182</v>
      </c>
      <c r="D165" s="627" t="s">
        <v>183</v>
      </c>
      <c r="E165" s="628">
        <v>2.8</v>
      </c>
      <c r="F165" s="628" t="s">
        <v>122</v>
      </c>
      <c r="G165" s="628">
        <v>0</v>
      </c>
      <c r="H165" s="628">
        <v>0</v>
      </c>
      <c r="I165" s="628">
        <v>1</v>
      </c>
      <c r="J165" s="628">
        <v>0</v>
      </c>
      <c r="K165" s="628">
        <v>1</v>
      </c>
      <c r="L165" s="628">
        <v>1</v>
      </c>
      <c r="M165" s="640">
        <v>2.8</v>
      </c>
    </row>
    <row r="166" spans="1:13" ht="15" customHeight="1">
      <c r="A166" s="641">
        <v>11140</v>
      </c>
      <c r="B166" s="629" t="s">
        <v>118</v>
      </c>
      <c r="C166" s="629" t="s">
        <v>184</v>
      </c>
      <c r="D166" s="629" t="s">
        <v>185</v>
      </c>
      <c r="E166" s="630">
        <v>2.8</v>
      </c>
      <c r="F166" s="630" t="s">
        <v>119</v>
      </c>
      <c r="G166" s="630">
        <v>0</v>
      </c>
      <c r="H166" s="630">
        <v>0</v>
      </c>
      <c r="I166" s="630">
        <v>4</v>
      </c>
      <c r="J166" s="630">
        <v>0</v>
      </c>
      <c r="K166" s="630">
        <v>4</v>
      </c>
      <c r="L166" s="630">
        <v>4</v>
      </c>
      <c r="M166" s="642">
        <v>11.2</v>
      </c>
    </row>
    <row r="167" spans="1:13" ht="15" customHeight="1">
      <c r="A167" s="639">
        <v>11140</v>
      </c>
      <c r="B167" s="627" t="s">
        <v>118</v>
      </c>
      <c r="C167" s="627" t="s">
        <v>184</v>
      </c>
      <c r="D167" s="627" t="s">
        <v>185</v>
      </c>
      <c r="E167" s="628">
        <v>2.8</v>
      </c>
      <c r="F167" s="628" t="s">
        <v>122</v>
      </c>
      <c r="G167" s="628">
        <v>0</v>
      </c>
      <c r="H167" s="628">
        <v>5</v>
      </c>
      <c r="I167" s="628">
        <v>2</v>
      </c>
      <c r="J167" s="628">
        <v>0</v>
      </c>
      <c r="K167" s="628">
        <v>7</v>
      </c>
      <c r="L167" s="628">
        <v>2</v>
      </c>
      <c r="M167" s="640">
        <v>5.6</v>
      </c>
    </row>
    <row r="168" spans="1:13" ht="15" customHeight="1">
      <c r="A168" s="641">
        <v>11140</v>
      </c>
      <c r="B168" s="629" t="s">
        <v>118</v>
      </c>
      <c r="C168" s="629" t="s">
        <v>186</v>
      </c>
      <c r="D168" s="629" t="s">
        <v>187</v>
      </c>
      <c r="E168" s="630">
        <v>2.8</v>
      </c>
      <c r="F168" s="630" t="s">
        <v>122</v>
      </c>
      <c r="G168" s="630">
        <v>0</v>
      </c>
      <c r="H168" s="630">
        <v>0</v>
      </c>
      <c r="I168" s="630">
        <v>3</v>
      </c>
      <c r="J168" s="630">
        <v>0</v>
      </c>
      <c r="K168" s="630">
        <v>3</v>
      </c>
      <c r="L168" s="630">
        <v>3</v>
      </c>
      <c r="M168" s="642">
        <v>8.4</v>
      </c>
    </row>
    <row r="169" spans="1:13" ht="15" customHeight="1">
      <c r="A169" s="639">
        <v>11140</v>
      </c>
      <c r="B169" s="627" t="s">
        <v>118</v>
      </c>
      <c r="C169" s="627" t="s">
        <v>188</v>
      </c>
      <c r="D169" s="627" t="s">
        <v>189</v>
      </c>
      <c r="E169" s="628">
        <v>2.8</v>
      </c>
      <c r="F169" s="628" t="s">
        <v>119</v>
      </c>
      <c r="G169" s="628">
        <v>0</v>
      </c>
      <c r="H169" s="628">
        <v>1</v>
      </c>
      <c r="I169" s="628">
        <v>0</v>
      </c>
      <c r="J169" s="628">
        <v>0</v>
      </c>
      <c r="K169" s="628">
        <v>1</v>
      </c>
      <c r="L169" s="628">
        <v>0</v>
      </c>
      <c r="M169" s="640">
        <v>0</v>
      </c>
    </row>
    <row r="170" spans="1:13" ht="15" customHeight="1">
      <c r="A170" s="641">
        <v>11140</v>
      </c>
      <c r="B170" s="629" t="s">
        <v>118</v>
      </c>
      <c r="C170" s="629" t="s">
        <v>188</v>
      </c>
      <c r="D170" s="629" t="s">
        <v>189</v>
      </c>
      <c r="E170" s="630">
        <v>2.8</v>
      </c>
      <c r="F170" s="630" t="s">
        <v>122</v>
      </c>
      <c r="G170" s="630">
        <v>0</v>
      </c>
      <c r="H170" s="630">
        <v>2</v>
      </c>
      <c r="I170" s="630">
        <v>4</v>
      </c>
      <c r="J170" s="630">
        <v>0</v>
      </c>
      <c r="K170" s="630">
        <v>6</v>
      </c>
      <c r="L170" s="630">
        <v>4</v>
      </c>
      <c r="M170" s="642">
        <v>11.2</v>
      </c>
    </row>
    <row r="171" spans="1:13" ht="15" customHeight="1">
      <c r="A171" s="639">
        <v>11140</v>
      </c>
      <c r="B171" s="627" t="s">
        <v>118</v>
      </c>
      <c r="C171" s="627" t="s">
        <v>157</v>
      </c>
      <c r="D171" s="627" t="s">
        <v>158</v>
      </c>
      <c r="E171" s="628">
        <v>2.8</v>
      </c>
      <c r="F171" s="628" t="s">
        <v>122</v>
      </c>
      <c r="G171" s="628">
        <v>0</v>
      </c>
      <c r="H171" s="628">
        <v>0</v>
      </c>
      <c r="I171" s="628">
        <v>3</v>
      </c>
      <c r="J171" s="628">
        <v>0</v>
      </c>
      <c r="K171" s="628">
        <v>3</v>
      </c>
      <c r="L171" s="628">
        <v>3</v>
      </c>
      <c r="M171" s="640">
        <v>8.4</v>
      </c>
    </row>
    <row r="172" spans="1:13" ht="15" customHeight="1">
      <c r="A172" s="641">
        <v>11140</v>
      </c>
      <c r="B172" s="629" t="s">
        <v>118</v>
      </c>
      <c r="C172" s="629" t="s">
        <v>659</v>
      </c>
      <c r="D172" s="629" t="s">
        <v>660</v>
      </c>
      <c r="E172" s="630">
        <v>2.8</v>
      </c>
      <c r="F172" s="630" t="s">
        <v>119</v>
      </c>
      <c r="G172" s="630">
        <v>0</v>
      </c>
      <c r="H172" s="630">
        <v>1</v>
      </c>
      <c r="I172" s="630">
        <v>3</v>
      </c>
      <c r="J172" s="630">
        <v>0</v>
      </c>
      <c r="K172" s="630">
        <v>4</v>
      </c>
      <c r="L172" s="630">
        <v>3</v>
      </c>
      <c r="M172" s="642">
        <v>8.4</v>
      </c>
    </row>
    <row r="173" spans="1:13" ht="15" customHeight="1">
      <c r="A173" s="639">
        <v>11140</v>
      </c>
      <c r="B173" s="627" t="s">
        <v>118</v>
      </c>
      <c r="C173" s="627" t="s">
        <v>659</v>
      </c>
      <c r="D173" s="627" t="s">
        <v>660</v>
      </c>
      <c r="E173" s="628">
        <v>2.8</v>
      </c>
      <c r="F173" s="628" t="s">
        <v>122</v>
      </c>
      <c r="G173" s="628">
        <v>0</v>
      </c>
      <c r="H173" s="628">
        <v>0</v>
      </c>
      <c r="I173" s="628">
        <v>3</v>
      </c>
      <c r="J173" s="628">
        <v>0</v>
      </c>
      <c r="K173" s="628">
        <v>3</v>
      </c>
      <c r="L173" s="628">
        <v>3</v>
      </c>
      <c r="M173" s="640">
        <v>8.4</v>
      </c>
    </row>
    <row r="174" spans="1:13" ht="15" customHeight="1">
      <c r="A174" s="641">
        <v>11140</v>
      </c>
      <c r="B174" s="629" t="s">
        <v>118</v>
      </c>
      <c r="C174" s="629" t="s">
        <v>192</v>
      </c>
      <c r="D174" s="629" t="s">
        <v>193</v>
      </c>
      <c r="E174" s="630">
        <v>2.8</v>
      </c>
      <c r="F174" s="630" t="s">
        <v>119</v>
      </c>
      <c r="G174" s="630">
        <v>0</v>
      </c>
      <c r="H174" s="630">
        <v>0</v>
      </c>
      <c r="I174" s="630">
        <v>2</v>
      </c>
      <c r="J174" s="630">
        <v>0</v>
      </c>
      <c r="K174" s="630">
        <v>2</v>
      </c>
      <c r="L174" s="630">
        <v>2</v>
      </c>
      <c r="M174" s="642">
        <v>5.6</v>
      </c>
    </row>
    <row r="175" spans="1:13" ht="15" customHeight="1">
      <c r="A175" s="639">
        <v>11140</v>
      </c>
      <c r="B175" s="627" t="s">
        <v>118</v>
      </c>
      <c r="C175" s="627" t="s">
        <v>192</v>
      </c>
      <c r="D175" s="627" t="s">
        <v>193</v>
      </c>
      <c r="E175" s="628">
        <v>2.8</v>
      </c>
      <c r="F175" s="628" t="s">
        <v>122</v>
      </c>
      <c r="G175" s="628">
        <v>0</v>
      </c>
      <c r="H175" s="628">
        <v>10</v>
      </c>
      <c r="I175" s="628">
        <v>5</v>
      </c>
      <c r="J175" s="628">
        <v>0</v>
      </c>
      <c r="K175" s="628">
        <v>15</v>
      </c>
      <c r="L175" s="628">
        <v>5</v>
      </c>
      <c r="M175" s="640">
        <v>14</v>
      </c>
    </row>
    <row r="176" spans="1:13" ht="15" customHeight="1">
      <c r="A176" s="643">
        <v>11140</v>
      </c>
      <c r="B176" s="631" t="s">
        <v>163</v>
      </c>
      <c r="C176" s="631"/>
      <c r="D176" s="631"/>
      <c r="E176" s="631"/>
      <c r="F176" s="632" t="s">
        <v>132</v>
      </c>
      <c r="G176" s="632">
        <v>0</v>
      </c>
      <c r="H176" s="632">
        <v>0</v>
      </c>
      <c r="I176" s="632">
        <v>0</v>
      </c>
      <c r="J176" s="632">
        <v>0</v>
      </c>
      <c r="K176" s="632">
        <v>0</v>
      </c>
      <c r="L176" s="632"/>
      <c r="M176" s="644"/>
    </row>
    <row r="177" spans="1:13" ht="15" customHeight="1">
      <c r="A177" s="643">
        <v>11140</v>
      </c>
      <c r="B177" s="631" t="s">
        <v>163</v>
      </c>
      <c r="C177" s="631"/>
      <c r="D177" s="631"/>
      <c r="E177" s="631"/>
      <c r="F177" s="632" t="s">
        <v>109</v>
      </c>
      <c r="G177" s="632">
        <v>0</v>
      </c>
      <c r="H177" s="632">
        <v>0</v>
      </c>
      <c r="I177" s="632">
        <v>0</v>
      </c>
      <c r="J177" s="632">
        <v>0</v>
      </c>
      <c r="K177" s="632">
        <v>0</v>
      </c>
      <c r="L177" s="632"/>
      <c r="M177" s="644"/>
    </row>
    <row r="178" spans="1:13" ht="15" customHeight="1">
      <c r="A178" s="643">
        <v>11140</v>
      </c>
      <c r="B178" s="631" t="s">
        <v>163</v>
      </c>
      <c r="C178" s="631"/>
      <c r="D178" s="631"/>
      <c r="E178" s="631"/>
      <c r="F178" s="632" t="s">
        <v>110</v>
      </c>
      <c r="G178" s="632">
        <v>164</v>
      </c>
      <c r="H178" s="632">
        <v>2</v>
      </c>
      <c r="I178" s="632">
        <v>135</v>
      </c>
      <c r="J178" s="632">
        <v>3</v>
      </c>
      <c r="K178" s="632">
        <v>304</v>
      </c>
      <c r="L178" s="632"/>
      <c r="M178" s="644"/>
    </row>
    <row r="179" spans="1:13" ht="15" customHeight="1">
      <c r="A179" s="643">
        <v>11140</v>
      </c>
      <c r="B179" s="631" t="s">
        <v>163</v>
      </c>
      <c r="C179" s="631"/>
      <c r="D179" s="631"/>
      <c r="E179" s="631"/>
      <c r="F179" s="632" t="s">
        <v>113</v>
      </c>
      <c r="G179" s="632">
        <v>0</v>
      </c>
      <c r="H179" s="632">
        <v>68</v>
      </c>
      <c r="I179" s="632">
        <v>1096</v>
      </c>
      <c r="J179" s="632">
        <v>18</v>
      </c>
      <c r="K179" s="632">
        <v>1182</v>
      </c>
      <c r="L179" s="632"/>
      <c r="M179" s="644"/>
    </row>
    <row r="180" spans="1:13" ht="15" customHeight="1">
      <c r="A180" s="643">
        <v>11140</v>
      </c>
      <c r="B180" s="631" t="s">
        <v>163</v>
      </c>
      <c r="C180" s="631"/>
      <c r="D180" s="631"/>
      <c r="E180" s="631"/>
      <c r="F180" s="632" t="s">
        <v>116</v>
      </c>
      <c r="G180" s="632">
        <v>0</v>
      </c>
      <c r="H180" s="632">
        <v>0</v>
      </c>
      <c r="I180" s="632">
        <v>0</v>
      </c>
      <c r="J180" s="632">
        <v>0</v>
      </c>
      <c r="K180" s="632">
        <v>0</v>
      </c>
      <c r="L180" s="632"/>
      <c r="M180" s="644"/>
    </row>
    <row r="181" spans="1:13" ht="15" customHeight="1">
      <c r="A181" s="643">
        <v>11140</v>
      </c>
      <c r="B181" s="631" t="s">
        <v>163</v>
      </c>
      <c r="C181" s="631"/>
      <c r="D181" s="631"/>
      <c r="E181" s="631"/>
      <c r="F181" s="632" t="s">
        <v>114</v>
      </c>
      <c r="G181" s="632">
        <v>0</v>
      </c>
      <c r="H181" s="632">
        <v>0</v>
      </c>
      <c r="I181" s="632">
        <v>0</v>
      </c>
      <c r="J181" s="632">
        <v>0</v>
      </c>
      <c r="K181" s="632">
        <v>0</v>
      </c>
      <c r="L181" s="632"/>
      <c r="M181" s="644"/>
    </row>
    <row r="182" spans="1:13" ht="15" customHeight="1">
      <c r="A182" s="643">
        <v>11140</v>
      </c>
      <c r="B182" s="631" t="s">
        <v>163</v>
      </c>
      <c r="C182" s="631"/>
      <c r="D182" s="631"/>
      <c r="E182" s="631"/>
      <c r="F182" s="632" t="s">
        <v>119</v>
      </c>
      <c r="G182" s="632">
        <v>0</v>
      </c>
      <c r="H182" s="632">
        <v>3</v>
      </c>
      <c r="I182" s="632">
        <v>32</v>
      </c>
      <c r="J182" s="632">
        <v>0</v>
      </c>
      <c r="K182" s="632">
        <v>35</v>
      </c>
      <c r="L182" s="632"/>
      <c r="M182" s="644"/>
    </row>
    <row r="183" spans="1:13" ht="15" customHeight="1">
      <c r="A183" s="643">
        <v>11140</v>
      </c>
      <c r="B183" s="631" t="s">
        <v>163</v>
      </c>
      <c r="C183" s="631"/>
      <c r="D183" s="631"/>
      <c r="E183" s="631"/>
      <c r="F183" s="632" t="s">
        <v>122</v>
      </c>
      <c r="G183" s="632">
        <v>0</v>
      </c>
      <c r="H183" s="632">
        <v>56</v>
      </c>
      <c r="I183" s="632">
        <v>95</v>
      </c>
      <c r="J183" s="632">
        <v>1</v>
      </c>
      <c r="K183" s="632">
        <v>152</v>
      </c>
      <c r="L183" s="632"/>
      <c r="M183" s="644"/>
    </row>
    <row r="184" spans="1:13" ht="15" customHeight="1">
      <c r="A184" s="641">
        <v>11150</v>
      </c>
      <c r="B184" s="629" t="s">
        <v>123</v>
      </c>
      <c r="C184" s="629" t="s">
        <v>130</v>
      </c>
      <c r="D184" s="629" t="s">
        <v>131</v>
      </c>
      <c r="E184" s="630">
        <v>2.25</v>
      </c>
      <c r="F184" s="630" t="s">
        <v>132</v>
      </c>
      <c r="G184" s="630">
        <v>19</v>
      </c>
      <c r="H184" s="630">
        <v>0</v>
      </c>
      <c r="I184" s="630">
        <v>3</v>
      </c>
      <c r="J184" s="630">
        <v>0</v>
      </c>
      <c r="K184" s="630">
        <v>22</v>
      </c>
      <c r="L184" s="630">
        <v>22</v>
      </c>
      <c r="M184" s="642">
        <v>49.5</v>
      </c>
    </row>
    <row r="185" spans="1:13" ht="15" customHeight="1">
      <c r="A185" s="639">
        <v>11150</v>
      </c>
      <c r="B185" s="627" t="s">
        <v>123</v>
      </c>
      <c r="C185" s="627" t="s">
        <v>130</v>
      </c>
      <c r="D185" s="627" t="s">
        <v>131</v>
      </c>
      <c r="E185" s="628">
        <v>2.25</v>
      </c>
      <c r="F185" s="628" t="s">
        <v>109</v>
      </c>
      <c r="G185" s="628">
        <v>0</v>
      </c>
      <c r="H185" s="628">
        <v>3</v>
      </c>
      <c r="I185" s="628">
        <v>40</v>
      </c>
      <c r="J185" s="628">
        <v>0</v>
      </c>
      <c r="K185" s="628">
        <v>43</v>
      </c>
      <c r="L185" s="628">
        <v>40</v>
      </c>
      <c r="M185" s="640">
        <v>90</v>
      </c>
    </row>
    <row r="186" spans="1:13" ht="15" customHeight="1">
      <c r="A186" s="641">
        <v>11150</v>
      </c>
      <c r="B186" s="629" t="s">
        <v>123</v>
      </c>
      <c r="C186" s="629" t="s">
        <v>9</v>
      </c>
      <c r="D186" s="629" t="s">
        <v>10</v>
      </c>
      <c r="E186" s="630">
        <v>2.8</v>
      </c>
      <c r="F186" s="630" t="s">
        <v>110</v>
      </c>
      <c r="G186" s="630">
        <v>132</v>
      </c>
      <c r="H186" s="630">
        <v>0</v>
      </c>
      <c r="I186" s="630">
        <v>53</v>
      </c>
      <c r="J186" s="630">
        <v>0</v>
      </c>
      <c r="K186" s="630">
        <v>185</v>
      </c>
      <c r="L186" s="630">
        <v>185</v>
      </c>
      <c r="M186" s="642">
        <v>518</v>
      </c>
    </row>
    <row r="187" spans="1:13" ht="15" customHeight="1">
      <c r="A187" s="639">
        <v>11150</v>
      </c>
      <c r="B187" s="627" t="s">
        <v>123</v>
      </c>
      <c r="C187" s="627" t="s">
        <v>9</v>
      </c>
      <c r="D187" s="627" t="s">
        <v>10</v>
      </c>
      <c r="E187" s="628">
        <v>2.8</v>
      </c>
      <c r="F187" s="628" t="s">
        <v>113</v>
      </c>
      <c r="G187" s="628">
        <v>0</v>
      </c>
      <c r="H187" s="628">
        <v>34</v>
      </c>
      <c r="I187" s="628">
        <v>695</v>
      </c>
      <c r="J187" s="628">
        <v>7</v>
      </c>
      <c r="K187" s="628">
        <v>736</v>
      </c>
      <c r="L187" s="628">
        <v>698.5</v>
      </c>
      <c r="M187" s="640">
        <v>1955.8</v>
      </c>
    </row>
    <row r="188" spans="1:13" ht="15" customHeight="1">
      <c r="A188" s="641">
        <v>11150</v>
      </c>
      <c r="B188" s="629" t="s">
        <v>123</v>
      </c>
      <c r="C188" s="629" t="s">
        <v>11</v>
      </c>
      <c r="D188" s="629" t="s">
        <v>12</v>
      </c>
      <c r="E188" s="630">
        <v>3.5</v>
      </c>
      <c r="F188" s="630" t="s">
        <v>110</v>
      </c>
      <c r="G188" s="630">
        <v>20</v>
      </c>
      <c r="H188" s="630">
        <v>0</v>
      </c>
      <c r="I188" s="630">
        <v>13</v>
      </c>
      <c r="J188" s="630">
        <v>0</v>
      </c>
      <c r="K188" s="630">
        <v>33</v>
      </c>
      <c r="L188" s="630">
        <v>33</v>
      </c>
      <c r="M188" s="642">
        <v>115.5</v>
      </c>
    </row>
    <row r="189" spans="1:13" ht="15" customHeight="1">
      <c r="A189" s="639">
        <v>11150</v>
      </c>
      <c r="B189" s="627" t="s">
        <v>123</v>
      </c>
      <c r="C189" s="627" t="s">
        <v>11</v>
      </c>
      <c r="D189" s="627" t="s">
        <v>12</v>
      </c>
      <c r="E189" s="628">
        <v>3.5</v>
      </c>
      <c r="F189" s="628" t="s">
        <v>113</v>
      </c>
      <c r="G189" s="628">
        <v>0</v>
      </c>
      <c r="H189" s="628">
        <v>7</v>
      </c>
      <c r="I189" s="628">
        <v>126</v>
      </c>
      <c r="J189" s="628">
        <v>0</v>
      </c>
      <c r="K189" s="628">
        <v>133</v>
      </c>
      <c r="L189" s="628">
        <v>126</v>
      </c>
      <c r="M189" s="640">
        <v>441</v>
      </c>
    </row>
    <row r="190" spans="1:13" ht="15" customHeight="1">
      <c r="A190" s="641">
        <v>11150</v>
      </c>
      <c r="B190" s="629" t="s">
        <v>123</v>
      </c>
      <c r="C190" s="629" t="s">
        <v>120</v>
      </c>
      <c r="D190" s="629" t="s">
        <v>121</v>
      </c>
      <c r="E190" s="630">
        <v>2.8</v>
      </c>
      <c r="F190" s="630" t="s">
        <v>119</v>
      </c>
      <c r="G190" s="630">
        <v>0</v>
      </c>
      <c r="H190" s="630">
        <v>0</v>
      </c>
      <c r="I190" s="630">
        <v>1</v>
      </c>
      <c r="J190" s="630">
        <v>0</v>
      </c>
      <c r="K190" s="630">
        <v>1</v>
      </c>
      <c r="L190" s="630">
        <v>1</v>
      </c>
      <c r="M190" s="642">
        <v>2.8</v>
      </c>
    </row>
    <row r="191" spans="1:13" ht="15" customHeight="1">
      <c r="A191" s="639">
        <v>11150</v>
      </c>
      <c r="B191" s="627" t="s">
        <v>123</v>
      </c>
      <c r="C191" s="627" t="s">
        <v>120</v>
      </c>
      <c r="D191" s="627" t="s">
        <v>121</v>
      </c>
      <c r="E191" s="628">
        <v>2.8</v>
      </c>
      <c r="F191" s="628" t="s">
        <v>122</v>
      </c>
      <c r="G191" s="628">
        <v>0</v>
      </c>
      <c r="H191" s="628">
        <v>1</v>
      </c>
      <c r="I191" s="628">
        <v>5</v>
      </c>
      <c r="J191" s="628">
        <v>0</v>
      </c>
      <c r="K191" s="628">
        <v>6</v>
      </c>
      <c r="L191" s="628">
        <v>5</v>
      </c>
      <c r="M191" s="640">
        <v>14</v>
      </c>
    </row>
    <row r="192" spans="1:13" ht="15" customHeight="1">
      <c r="A192" s="641">
        <v>11150</v>
      </c>
      <c r="B192" s="629" t="s">
        <v>123</v>
      </c>
      <c r="C192" s="629" t="s">
        <v>153</v>
      </c>
      <c r="D192" s="629" t="s">
        <v>154</v>
      </c>
      <c r="E192" s="630">
        <v>2.8</v>
      </c>
      <c r="F192" s="630" t="s">
        <v>122</v>
      </c>
      <c r="G192" s="630">
        <v>0</v>
      </c>
      <c r="H192" s="630">
        <v>5</v>
      </c>
      <c r="I192" s="630">
        <v>1</v>
      </c>
      <c r="J192" s="630">
        <v>0</v>
      </c>
      <c r="K192" s="630">
        <v>6</v>
      </c>
      <c r="L192" s="630">
        <v>1</v>
      </c>
      <c r="M192" s="642">
        <v>2.8</v>
      </c>
    </row>
    <row r="193" spans="1:13" ht="15" customHeight="1">
      <c r="A193" s="639">
        <v>11150</v>
      </c>
      <c r="B193" s="627" t="s">
        <v>123</v>
      </c>
      <c r="C193" s="627" t="s">
        <v>25</v>
      </c>
      <c r="D193" s="627" t="s">
        <v>26</v>
      </c>
      <c r="E193" s="628">
        <v>2.8</v>
      </c>
      <c r="F193" s="628" t="s">
        <v>119</v>
      </c>
      <c r="G193" s="628">
        <v>0</v>
      </c>
      <c r="H193" s="628">
        <v>0</v>
      </c>
      <c r="I193" s="628">
        <v>2</v>
      </c>
      <c r="J193" s="628">
        <v>0</v>
      </c>
      <c r="K193" s="628">
        <v>2</v>
      </c>
      <c r="L193" s="628">
        <v>2</v>
      </c>
      <c r="M193" s="640">
        <v>5.6</v>
      </c>
    </row>
    <row r="194" spans="1:13" ht="15" customHeight="1">
      <c r="A194" s="641">
        <v>11150</v>
      </c>
      <c r="B194" s="629" t="s">
        <v>123</v>
      </c>
      <c r="C194" s="629" t="s">
        <v>25</v>
      </c>
      <c r="D194" s="629" t="s">
        <v>26</v>
      </c>
      <c r="E194" s="630">
        <v>2.8</v>
      </c>
      <c r="F194" s="630" t="s">
        <v>122</v>
      </c>
      <c r="G194" s="630">
        <v>0</v>
      </c>
      <c r="H194" s="630">
        <v>2</v>
      </c>
      <c r="I194" s="630">
        <v>2</v>
      </c>
      <c r="J194" s="630">
        <v>0</v>
      </c>
      <c r="K194" s="630">
        <v>4</v>
      </c>
      <c r="L194" s="630">
        <v>2</v>
      </c>
      <c r="M194" s="642">
        <v>5.6</v>
      </c>
    </row>
    <row r="195" spans="1:13" ht="15" customHeight="1">
      <c r="A195" s="639">
        <v>11150</v>
      </c>
      <c r="B195" s="627" t="s">
        <v>123</v>
      </c>
      <c r="C195" s="627" t="s">
        <v>170</v>
      </c>
      <c r="D195" s="627" t="s">
        <v>171</v>
      </c>
      <c r="E195" s="628">
        <v>2.8</v>
      </c>
      <c r="F195" s="628" t="s">
        <v>122</v>
      </c>
      <c r="G195" s="628">
        <v>0</v>
      </c>
      <c r="H195" s="628">
        <v>0</v>
      </c>
      <c r="I195" s="628">
        <v>1</v>
      </c>
      <c r="J195" s="628">
        <v>0</v>
      </c>
      <c r="K195" s="628">
        <v>1</v>
      </c>
      <c r="L195" s="628">
        <v>1</v>
      </c>
      <c r="M195" s="640">
        <v>2.8</v>
      </c>
    </row>
    <row r="196" spans="1:13" ht="15" customHeight="1">
      <c r="A196" s="641">
        <v>11150</v>
      </c>
      <c r="B196" s="629" t="s">
        <v>123</v>
      </c>
      <c r="C196" s="629" t="s">
        <v>172</v>
      </c>
      <c r="D196" s="629" t="s">
        <v>173</v>
      </c>
      <c r="E196" s="630">
        <v>2.8</v>
      </c>
      <c r="F196" s="630" t="s">
        <v>119</v>
      </c>
      <c r="G196" s="630">
        <v>0</v>
      </c>
      <c r="H196" s="630">
        <v>0</v>
      </c>
      <c r="I196" s="630">
        <v>4</v>
      </c>
      <c r="J196" s="630">
        <v>0</v>
      </c>
      <c r="K196" s="630">
        <v>4</v>
      </c>
      <c r="L196" s="630">
        <v>4</v>
      </c>
      <c r="M196" s="642">
        <v>11.2</v>
      </c>
    </row>
    <row r="197" spans="1:13" ht="15" customHeight="1">
      <c r="A197" s="639">
        <v>11150</v>
      </c>
      <c r="B197" s="627" t="s">
        <v>123</v>
      </c>
      <c r="C197" s="627" t="s">
        <v>172</v>
      </c>
      <c r="D197" s="627" t="s">
        <v>173</v>
      </c>
      <c r="E197" s="628">
        <v>2.8</v>
      </c>
      <c r="F197" s="628" t="s">
        <v>122</v>
      </c>
      <c r="G197" s="628">
        <v>0</v>
      </c>
      <c r="H197" s="628">
        <v>1</v>
      </c>
      <c r="I197" s="628">
        <v>6</v>
      </c>
      <c r="J197" s="628">
        <v>0</v>
      </c>
      <c r="K197" s="628">
        <v>7</v>
      </c>
      <c r="L197" s="628">
        <v>6</v>
      </c>
      <c r="M197" s="640">
        <v>16.8</v>
      </c>
    </row>
    <row r="198" spans="1:13" ht="15" customHeight="1">
      <c r="A198" s="641">
        <v>11150</v>
      </c>
      <c r="B198" s="629" t="s">
        <v>123</v>
      </c>
      <c r="C198" s="629" t="s">
        <v>27</v>
      </c>
      <c r="D198" s="629" t="s">
        <v>28</v>
      </c>
      <c r="E198" s="630">
        <v>2.8</v>
      </c>
      <c r="F198" s="630" t="s">
        <v>119</v>
      </c>
      <c r="G198" s="630">
        <v>0</v>
      </c>
      <c r="H198" s="630">
        <v>0</v>
      </c>
      <c r="I198" s="630">
        <v>7</v>
      </c>
      <c r="J198" s="630">
        <v>0</v>
      </c>
      <c r="K198" s="630">
        <v>7</v>
      </c>
      <c r="L198" s="630">
        <v>7</v>
      </c>
      <c r="M198" s="642">
        <v>19.6</v>
      </c>
    </row>
    <row r="199" spans="1:13" ht="15" customHeight="1">
      <c r="A199" s="639">
        <v>11150</v>
      </c>
      <c r="B199" s="627" t="s">
        <v>123</v>
      </c>
      <c r="C199" s="627" t="s">
        <v>27</v>
      </c>
      <c r="D199" s="627" t="s">
        <v>28</v>
      </c>
      <c r="E199" s="628">
        <v>2.8</v>
      </c>
      <c r="F199" s="628" t="s">
        <v>122</v>
      </c>
      <c r="G199" s="628">
        <v>0</v>
      </c>
      <c r="H199" s="628">
        <v>10</v>
      </c>
      <c r="I199" s="628">
        <v>15</v>
      </c>
      <c r="J199" s="628">
        <v>1</v>
      </c>
      <c r="K199" s="628">
        <v>26</v>
      </c>
      <c r="L199" s="628">
        <v>15.5</v>
      </c>
      <c r="M199" s="640">
        <v>43.4</v>
      </c>
    </row>
    <row r="200" spans="1:13" ht="15" customHeight="1">
      <c r="A200" s="641">
        <v>11150</v>
      </c>
      <c r="B200" s="629" t="s">
        <v>123</v>
      </c>
      <c r="C200" s="629" t="s">
        <v>194</v>
      </c>
      <c r="D200" s="629" t="s">
        <v>195</v>
      </c>
      <c r="E200" s="630">
        <v>2.8</v>
      </c>
      <c r="F200" s="630" t="s">
        <v>119</v>
      </c>
      <c r="G200" s="630">
        <v>0</v>
      </c>
      <c r="H200" s="630">
        <v>0</v>
      </c>
      <c r="I200" s="630">
        <v>1</v>
      </c>
      <c r="J200" s="630">
        <v>0</v>
      </c>
      <c r="K200" s="630">
        <v>1</v>
      </c>
      <c r="L200" s="630">
        <v>1</v>
      </c>
      <c r="M200" s="642">
        <v>2.8</v>
      </c>
    </row>
    <row r="201" spans="1:13" ht="15" customHeight="1">
      <c r="A201" s="639">
        <v>11150</v>
      </c>
      <c r="B201" s="627" t="s">
        <v>123</v>
      </c>
      <c r="C201" s="627" t="s">
        <v>194</v>
      </c>
      <c r="D201" s="627" t="s">
        <v>195</v>
      </c>
      <c r="E201" s="628">
        <v>2.8</v>
      </c>
      <c r="F201" s="628" t="s">
        <v>122</v>
      </c>
      <c r="G201" s="628">
        <v>0</v>
      </c>
      <c r="H201" s="628">
        <v>1</v>
      </c>
      <c r="I201" s="628">
        <v>0</v>
      </c>
      <c r="J201" s="628">
        <v>0</v>
      </c>
      <c r="K201" s="628">
        <v>1</v>
      </c>
      <c r="L201" s="628">
        <v>0</v>
      </c>
      <c r="M201" s="640">
        <v>0</v>
      </c>
    </row>
    <row r="202" spans="1:13" ht="15" customHeight="1">
      <c r="A202" s="641">
        <v>11150</v>
      </c>
      <c r="B202" s="629" t="s">
        <v>123</v>
      </c>
      <c r="C202" s="629" t="s">
        <v>176</v>
      </c>
      <c r="D202" s="629" t="s">
        <v>177</v>
      </c>
      <c r="E202" s="630">
        <v>2.8</v>
      </c>
      <c r="F202" s="630" t="s">
        <v>122</v>
      </c>
      <c r="G202" s="630">
        <v>0</v>
      </c>
      <c r="H202" s="630">
        <v>1</v>
      </c>
      <c r="I202" s="630">
        <v>5</v>
      </c>
      <c r="J202" s="630">
        <v>0</v>
      </c>
      <c r="K202" s="630">
        <v>6</v>
      </c>
      <c r="L202" s="630">
        <v>5</v>
      </c>
      <c r="M202" s="642">
        <v>14</v>
      </c>
    </row>
    <row r="203" spans="1:13" ht="15" customHeight="1">
      <c r="A203" s="639">
        <v>11150</v>
      </c>
      <c r="B203" s="627" t="s">
        <v>123</v>
      </c>
      <c r="C203" s="627" t="s">
        <v>196</v>
      </c>
      <c r="D203" s="627" t="s">
        <v>197</v>
      </c>
      <c r="E203" s="628">
        <v>2.8</v>
      </c>
      <c r="F203" s="628" t="s">
        <v>119</v>
      </c>
      <c r="G203" s="628">
        <v>0</v>
      </c>
      <c r="H203" s="628">
        <v>0</v>
      </c>
      <c r="I203" s="628">
        <v>1</v>
      </c>
      <c r="J203" s="628">
        <v>0</v>
      </c>
      <c r="K203" s="628">
        <v>1</v>
      </c>
      <c r="L203" s="628">
        <v>1</v>
      </c>
      <c r="M203" s="640">
        <v>2.8</v>
      </c>
    </row>
    <row r="204" spans="1:13" ht="15" customHeight="1">
      <c r="A204" s="641">
        <v>11150</v>
      </c>
      <c r="B204" s="629" t="s">
        <v>123</v>
      </c>
      <c r="C204" s="629" t="s">
        <v>196</v>
      </c>
      <c r="D204" s="629" t="s">
        <v>197</v>
      </c>
      <c r="E204" s="630">
        <v>2.8</v>
      </c>
      <c r="F204" s="630" t="s">
        <v>122</v>
      </c>
      <c r="G204" s="630">
        <v>0</v>
      </c>
      <c r="H204" s="630">
        <v>1</v>
      </c>
      <c r="I204" s="630">
        <v>2</v>
      </c>
      <c r="J204" s="630">
        <v>0</v>
      </c>
      <c r="K204" s="630">
        <v>3</v>
      </c>
      <c r="L204" s="630">
        <v>2</v>
      </c>
      <c r="M204" s="642">
        <v>5.6</v>
      </c>
    </row>
    <row r="205" spans="1:13" ht="15" customHeight="1">
      <c r="A205" s="639">
        <v>11150</v>
      </c>
      <c r="B205" s="627" t="s">
        <v>123</v>
      </c>
      <c r="C205" s="627" t="s">
        <v>198</v>
      </c>
      <c r="D205" s="627" t="s">
        <v>199</v>
      </c>
      <c r="E205" s="628">
        <v>2.8</v>
      </c>
      <c r="F205" s="628" t="s">
        <v>119</v>
      </c>
      <c r="G205" s="628">
        <v>0</v>
      </c>
      <c r="H205" s="628">
        <v>1</v>
      </c>
      <c r="I205" s="628">
        <v>1</v>
      </c>
      <c r="J205" s="628">
        <v>0</v>
      </c>
      <c r="K205" s="628">
        <v>2</v>
      </c>
      <c r="L205" s="628">
        <v>1</v>
      </c>
      <c r="M205" s="640">
        <v>2.8</v>
      </c>
    </row>
    <row r="206" spans="1:13" ht="15" customHeight="1">
      <c r="A206" s="641">
        <v>11150</v>
      </c>
      <c r="B206" s="629" t="s">
        <v>123</v>
      </c>
      <c r="C206" s="629" t="s">
        <v>198</v>
      </c>
      <c r="D206" s="629" t="s">
        <v>199</v>
      </c>
      <c r="E206" s="630">
        <v>2.8</v>
      </c>
      <c r="F206" s="630" t="s">
        <v>122</v>
      </c>
      <c r="G206" s="630">
        <v>0</v>
      </c>
      <c r="H206" s="630">
        <v>2</v>
      </c>
      <c r="I206" s="630">
        <v>5</v>
      </c>
      <c r="J206" s="630">
        <v>0</v>
      </c>
      <c r="K206" s="630">
        <v>7</v>
      </c>
      <c r="L206" s="630">
        <v>5</v>
      </c>
      <c r="M206" s="642">
        <v>14</v>
      </c>
    </row>
    <row r="207" spans="1:13" ht="15" customHeight="1">
      <c r="A207" s="639">
        <v>11150</v>
      </c>
      <c r="B207" s="627" t="s">
        <v>123</v>
      </c>
      <c r="C207" s="627" t="s">
        <v>200</v>
      </c>
      <c r="D207" s="627" t="s">
        <v>201</v>
      </c>
      <c r="E207" s="628">
        <v>2.8</v>
      </c>
      <c r="F207" s="628" t="s">
        <v>119</v>
      </c>
      <c r="G207" s="628">
        <v>0</v>
      </c>
      <c r="H207" s="628">
        <v>0</v>
      </c>
      <c r="I207" s="628">
        <v>1</v>
      </c>
      <c r="J207" s="628">
        <v>0</v>
      </c>
      <c r="K207" s="628">
        <v>1</v>
      </c>
      <c r="L207" s="628">
        <v>1</v>
      </c>
      <c r="M207" s="640">
        <v>2.8</v>
      </c>
    </row>
    <row r="208" spans="1:13" ht="15" customHeight="1">
      <c r="A208" s="641">
        <v>11150</v>
      </c>
      <c r="B208" s="629" t="s">
        <v>123</v>
      </c>
      <c r="C208" s="629" t="s">
        <v>200</v>
      </c>
      <c r="D208" s="629" t="s">
        <v>201</v>
      </c>
      <c r="E208" s="630">
        <v>2.8</v>
      </c>
      <c r="F208" s="630" t="s">
        <v>122</v>
      </c>
      <c r="G208" s="630">
        <v>0</v>
      </c>
      <c r="H208" s="630">
        <v>3</v>
      </c>
      <c r="I208" s="630">
        <v>3</v>
      </c>
      <c r="J208" s="630">
        <v>0</v>
      </c>
      <c r="K208" s="630">
        <v>6</v>
      </c>
      <c r="L208" s="630">
        <v>3</v>
      </c>
      <c r="M208" s="642">
        <v>8.4</v>
      </c>
    </row>
    <row r="209" spans="1:13" ht="15" customHeight="1">
      <c r="A209" s="639">
        <v>11150</v>
      </c>
      <c r="B209" s="627" t="s">
        <v>123</v>
      </c>
      <c r="C209" s="627" t="s">
        <v>202</v>
      </c>
      <c r="D209" s="627" t="s">
        <v>203</v>
      </c>
      <c r="E209" s="628">
        <v>2.8</v>
      </c>
      <c r="F209" s="628" t="s">
        <v>119</v>
      </c>
      <c r="G209" s="628">
        <v>0</v>
      </c>
      <c r="H209" s="628">
        <v>0</v>
      </c>
      <c r="I209" s="628">
        <v>2</v>
      </c>
      <c r="J209" s="628">
        <v>0</v>
      </c>
      <c r="K209" s="628">
        <v>2</v>
      </c>
      <c r="L209" s="628">
        <v>2</v>
      </c>
      <c r="M209" s="640">
        <v>5.6</v>
      </c>
    </row>
    <row r="210" spans="1:13" ht="15" customHeight="1">
      <c r="A210" s="641">
        <v>11150</v>
      </c>
      <c r="B210" s="629" t="s">
        <v>123</v>
      </c>
      <c r="C210" s="629" t="s">
        <v>202</v>
      </c>
      <c r="D210" s="629" t="s">
        <v>203</v>
      </c>
      <c r="E210" s="630">
        <v>2.8</v>
      </c>
      <c r="F210" s="630" t="s">
        <v>122</v>
      </c>
      <c r="G210" s="630">
        <v>0</v>
      </c>
      <c r="H210" s="630">
        <v>2</v>
      </c>
      <c r="I210" s="630">
        <v>7</v>
      </c>
      <c r="J210" s="630">
        <v>0</v>
      </c>
      <c r="K210" s="630">
        <v>9</v>
      </c>
      <c r="L210" s="630">
        <v>7</v>
      </c>
      <c r="M210" s="642">
        <v>19.6</v>
      </c>
    </row>
    <row r="211" spans="1:13" ht="15" customHeight="1">
      <c r="A211" s="639">
        <v>11150</v>
      </c>
      <c r="B211" s="627" t="s">
        <v>123</v>
      </c>
      <c r="C211" s="627" t="s">
        <v>178</v>
      </c>
      <c r="D211" s="627" t="s">
        <v>179</v>
      </c>
      <c r="E211" s="628">
        <v>2.8</v>
      </c>
      <c r="F211" s="628" t="s">
        <v>122</v>
      </c>
      <c r="G211" s="628">
        <v>0</v>
      </c>
      <c r="H211" s="628">
        <v>2</v>
      </c>
      <c r="I211" s="628">
        <v>3</v>
      </c>
      <c r="J211" s="628">
        <v>0</v>
      </c>
      <c r="K211" s="628">
        <v>5</v>
      </c>
      <c r="L211" s="628">
        <v>3</v>
      </c>
      <c r="M211" s="640">
        <v>8.4</v>
      </c>
    </row>
    <row r="212" spans="1:13" ht="15" customHeight="1">
      <c r="A212" s="641">
        <v>11150</v>
      </c>
      <c r="B212" s="629" t="s">
        <v>123</v>
      </c>
      <c r="C212" s="629" t="s">
        <v>204</v>
      </c>
      <c r="D212" s="629" t="s">
        <v>205</v>
      </c>
      <c r="E212" s="630">
        <v>2.8</v>
      </c>
      <c r="F212" s="630" t="s">
        <v>122</v>
      </c>
      <c r="G212" s="630">
        <v>0</v>
      </c>
      <c r="H212" s="630">
        <v>0</v>
      </c>
      <c r="I212" s="630">
        <v>3</v>
      </c>
      <c r="J212" s="630">
        <v>0</v>
      </c>
      <c r="K212" s="630">
        <v>3</v>
      </c>
      <c r="L212" s="630">
        <v>3</v>
      </c>
      <c r="M212" s="642">
        <v>8.4</v>
      </c>
    </row>
    <row r="213" spans="1:13" ht="15" customHeight="1">
      <c r="A213" s="639">
        <v>11150</v>
      </c>
      <c r="B213" s="627" t="s">
        <v>123</v>
      </c>
      <c r="C213" s="627" t="s">
        <v>29</v>
      </c>
      <c r="D213" s="627" t="s">
        <v>30</v>
      </c>
      <c r="E213" s="628">
        <v>2.8</v>
      </c>
      <c r="F213" s="628" t="s">
        <v>119</v>
      </c>
      <c r="G213" s="628">
        <v>0</v>
      </c>
      <c r="H213" s="628">
        <v>1</v>
      </c>
      <c r="I213" s="628">
        <v>4</v>
      </c>
      <c r="J213" s="628">
        <v>0</v>
      </c>
      <c r="K213" s="628">
        <v>5</v>
      </c>
      <c r="L213" s="628">
        <v>4</v>
      </c>
      <c r="M213" s="640">
        <v>11.2</v>
      </c>
    </row>
    <row r="214" spans="1:13" ht="15" customHeight="1">
      <c r="A214" s="641">
        <v>11150</v>
      </c>
      <c r="B214" s="629" t="s">
        <v>123</v>
      </c>
      <c r="C214" s="629" t="s">
        <v>29</v>
      </c>
      <c r="D214" s="629" t="s">
        <v>30</v>
      </c>
      <c r="E214" s="630">
        <v>2.8</v>
      </c>
      <c r="F214" s="630" t="s">
        <v>122</v>
      </c>
      <c r="G214" s="630">
        <v>0</v>
      </c>
      <c r="H214" s="630">
        <v>20</v>
      </c>
      <c r="I214" s="630">
        <v>18</v>
      </c>
      <c r="J214" s="630">
        <v>0</v>
      </c>
      <c r="K214" s="630">
        <v>38</v>
      </c>
      <c r="L214" s="630">
        <v>18</v>
      </c>
      <c r="M214" s="642">
        <v>50.4</v>
      </c>
    </row>
    <row r="215" spans="1:13" ht="15" customHeight="1">
      <c r="A215" s="639">
        <v>11150</v>
      </c>
      <c r="B215" s="627" t="s">
        <v>123</v>
      </c>
      <c r="C215" s="627" t="s">
        <v>206</v>
      </c>
      <c r="D215" s="627" t="s">
        <v>207</v>
      </c>
      <c r="E215" s="628">
        <v>2.8</v>
      </c>
      <c r="F215" s="628" t="s">
        <v>119</v>
      </c>
      <c r="G215" s="628">
        <v>0</v>
      </c>
      <c r="H215" s="628">
        <v>0</v>
      </c>
      <c r="I215" s="628">
        <v>2</v>
      </c>
      <c r="J215" s="628">
        <v>0</v>
      </c>
      <c r="K215" s="628">
        <v>2</v>
      </c>
      <c r="L215" s="628">
        <v>2</v>
      </c>
      <c r="M215" s="640">
        <v>5.6</v>
      </c>
    </row>
    <row r="216" spans="1:13" ht="15" customHeight="1">
      <c r="A216" s="641">
        <v>11150</v>
      </c>
      <c r="B216" s="629" t="s">
        <v>123</v>
      </c>
      <c r="C216" s="629" t="s">
        <v>206</v>
      </c>
      <c r="D216" s="629" t="s">
        <v>207</v>
      </c>
      <c r="E216" s="630">
        <v>2.8</v>
      </c>
      <c r="F216" s="630" t="s">
        <v>122</v>
      </c>
      <c r="G216" s="630">
        <v>0</v>
      </c>
      <c r="H216" s="630">
        <v>6</v>
      </c>
      <c r="I216" s="630">
        <v>4</v>
      </c>
      <c r="J216" s="630">
        <v>0</v>
      </c>
      <c r="K216" s="630">
        <v>10</v>
      </c>
      <c r="L216" s="630">
        <v>4</v>
      </c>
      <c r="M216" s="642">
        <v>11.2</v>
      </c>
    </row>
    <row r="217" spans="1:13" ht="15" customHeight="1">
      <c r="A217" s="639">
        <v>11150</v>
      </c>
      <c r="B217" s="627" t="s">
        <v>123</v>
      </c>
      <c r="C217" s="627" t="s">
        <v>188</v>
      </c>
      <c r="D217" s="627" t="s">
        <v>189</v>
      </c>
      <c r="E217" s="628">
        <v>2.8</v>
      </c>
      <c r="F217" s="628" t="s">
        <v>119</v>
      </c>
      <c r="G217" s="628">
        <v>0</v>
      </c>
      <c r="H217" s="628">
        <v>0</v>
      </c>
      <c r="I217" s="628">
        <v>3</v>
      </c>
      <c r="J217" s="628">
        <v>0</v>
      </c>
      <c r="K217" s="628">
        <v>3</v>
      </c>
      <c r="L217" s="628">
        <v>3</v>
      </c>
      <c r="M217" s="640">
        <v>8.4</v>
      </c>
    </row>
    <row r="218" spans="1:13" ht="15" customHeight="1">
      <c r="A218" s="641">
        <v>11150</v>
      </c>
      <c r="B218" s="629" t="s">
        <v>123</v>
      </c>
      <c r="C218" s="629" t="s">
        <v>188</v>
      </c>
      <c r="D218" s="629" t="s">
        <v>189</v>
      </c>
      <c r="E218" s="630">
        <v>2.8</v>
      </c>
      <c r="F218" s="630" t="s">
        <v>122</v>
      </c>
      <c r="G218" s="630">
        <v>0</v>
      </c>
      <c r="H218" s="630">
        <v>5</v>
      </c>
      <c r="I218" s="630">
        <v>4</v>
      </c>
      <c r="J218" s="630">
        <v>0</v>
      </c>
      <c r="K218" s="630">
        <v>9</v>
      </c>
      <c r="L218" s="630">
        <v>4</v>
      </c>
      <c r="M218" s="642">
        <v>11.2</v>
      </c>
    </row>
    <row r="219" spans="1:13" ht="15" customHeight="1">
      <c r="A219" s="639">
        <v>11150</v>
      </c>
      <c r="B219" s="627" t="s">
        <v>123</v>
      </c>
      <c r="C219" s="627" t="s">
        <v>190</v>
      </c>
      <c r="D219" s="627" t="s">
        <v>191</v>
      </c>
      <c r="E219" s="628">
        <v>2.8</v>
      </c>
      <c r="F219" s="628" t="s">
        <v>119</v>
      </c>
      <c r="G219" s="628">
        <v>0</v>
      </c>
      <c r="H219" s="628">
        <v>0</v>
      </c>
      <c r="I219" s="628">
        <v>1</v>
      </c>
      <c r="J219" s="628">
        <v>0</v>
      </c>
      <c r="K219" s="628">
        <v>1</v>
      </c>
      <c r="L219" s="628">
        <v>1</v>
      </c>
      <c r="M219" s="640">
        <v>2.8</v>
      </c>
    </row>
    <row r="220" spans="1:13" ht="15" customHeight="1">
      <c r="A220" s="641">
        <v>11150</v>
      </c>
      <c r="B220" s="629" t="s">
        <v>123</v>
      </c>
      <c r="C220" s="629" t="s">
        <v>190</v>
      </c>
      <c r="D220" s="629" t="s">
        <v>191</v>
      </c>
      <c r="E220" s="630">
        <v>2.8</v>
      </c>
      <c r="F220" s="630" t="s">
        <v>122</v>
      </c>
      <c r="G220" s="630">
        <v>0</v>
      </c>
      <c r="H220" s="630">
        <v>4</v>
      </c>
      <c r="I220" s="630">
        <v>4</v>
      </c>
      <c r="J220" s="630">
        <v>0</v>
      </c>
      <c r="K220" s="630">
        <v>8</v>
      </c>
      <c r="L220" s="630">
        <v>4</v>
      </c>
      <c r="M220" s="642">
        <v>11.2</v>
      </c>
    </row>
    <row r="221" spans="1:13" ht="15" customHeight="1">
      <c r="A221" s="639">
        <v>11150</v>
      </c>
      <c r="B221" s="627" t="s">
        <v>123</v>
      </c>
      <c r="C221" s="627" t="s">
        <v>208</v>
      </c>
      <c r="D221" s="627" t="s">
        <v>209</v>
      </c>
      <c r="E221" s="628">
        <v>2.8</v>
      </c>
      <c r="F221" s="628" t="s">
        <v>119</v>
      </c>
      <c r="G221" s="628">
        <v>0</v>
      </c>
      <c r="H221" s="628">
        <v>0</v>
      </c>
      <c r="I221" s="628">
        <v>3</v>
      </c>
      <c r="J221" s="628">
        <v>0</v>
      </c>
      <c r="K221" s="628">
        <v>3</v>
      </c>
      <c r="L221" s="628">
        <v>3</v>
      </c>
      <c r="M221" s="640">
        <v>8.4</v>
      </c>
    </row>
    <row r="222" spans="1:13" ht="15" customHeight="1">
      <c r="A222" s="641">
        <v>11150</v>
      </c>
      <c r="B222" s="629" t="s">
        <v>123</v>
      </c>
      <c r="C222" s="629" t="s">
        <v>208</v>
      </c>
      <c r="D222" s="629" t="s">
        <v>209</v>
      </c>
      <c r="E222" s="630">
        <v>2.8</v>
      </c>
      <c r="F222" s="630" t="s">
        <v>122</v>
      </c>
      <c r="G222" s="630">
        <v>0</v>
      </c>
      <c r="H222" s="630">
        <v>9</v>
      </c>
      <c r="I222" s="630">
        <v>8</v>
      </c>
      <c r="J222" s="630">
        <v>0</v>
      </c>
      <c r="K222" s="630">
        <v>17</v>
      </c>
      <c r="L222" s="630">
        <v>8</v>
      </c>
      <c r="M222" s="642">
        <v>22.4</v>
      </c>
    </row>
    <row r="223" spans="1:13" ht="15" customHeight="1">
      <c r="A223" s="639">
        <v>11150</v>
      </c>
      <c r="B223" s="627" t="s">
        <v>123</v>
      </c>
      <c r="C223" s="627" t="s">
        <v>210</v>
      </c>
      <c r="D223" s="627" t="s">
        <v>211</v>
      </c>
      <c r="E223" s="628">
        <v>2.8</v>
      </c>
      <c r="F223" s="628" t="s">
        <v>119</v>
      </c>
      <c r="G223" s="628">
        <v>0</v>
      </c>
      <c r="H223" s="628">
        <v>0</v>
      </c>
      <c r="I223" s="628">
        <v>2</v>
      </c>
      <c r="J223" s="628">
        <v>0</v>
      </c>
      <c r="K223" s="628">
        <v>2</v>
      </c>
      <c r="L223" s="628">
        <v>2</v>
      </c>
      <c r="M223" s="640">
        <v>5.6</v>
      </c>
    </row>
    <row r="224" spans="1:13" ht="15" customHeight="1">
      <c r="A224" s="641">
        <v>11150</v>
      </c>
      <c r="B224" s="629" t="s">
        <v>123</v>
      </c>
      <c r="C224" s="629" t="s">
        <v>210</v>
      </c>
      <c r="D224" s="629" t="s">
        <v>211</v>
      </c>
      <c r="E224" s="630">
        <v>2.8</v>
      </c>
      <c r="F224" s="630" t="s">
        <v>122</v>
      </c>
      <c r="G224" s="630">
        <v>0</v>
      </c>
      <c r="H224" s="630">
        <v>7</v>
      </c>
      <c r="I224" s="630">
        <v>5</v>
      </c>
      <c r="J224" s="630">
        <v>0</v>
      </c>
      <c r="K224" s="630">
        <v>12</v>
      </c>
      <c r="L224" s="630">
        <v>5</v>
      </c>
      <c r="M224" s="642">
        <v>14</v>
      </c>
    </row>
    <row r="225" spans="1:13" ht="15" customHeight="1">
      <c r="A225" s="639">
        <v>11150</v>
      </c>
      <c r="B225" s="627" t="s">
        <v>123</v>
      </c>
      <c r="C225" s="627" t="s">
        <v>212</v>
      </c>
      <c r="D225" s="627" t="s">
        <v>213</v>
      </c>
      <c r="E225" s="628">
        <v>2.8</v>
      </c>
      <c r="F225" s="628" t="s">
        <v>119</v>
      </c>
      <c r="G225" s="628">
        <v>0</v>
      </c>
      <c r="H225" s="628">
        <v>0</v>
      </c>
      <c r="I225" s="628">
        <v>1</v>
      </c>
      <c r="J225" s="628">
        <v>0</v>
      </c>
      <c r="K225" s="628">
        <v>1</v>
      </c>
      <c r="L225" s="628">
        <v>1</v>
      </c>
      <c r="M225" s="640">
        <v>2.8</v>
      </c>
    </row>
    <row r="226" spans="1:13" ht="15" customHeight="1">
      <c r="A226" s="641">
        <v>11150</v>
      </c>
      <c r="B226" s="629" t="s">
        <v>123</v>
      </c>
      <c r="C226" s="629" t="s">
        <v>212</v>
      </c>
      <c r="D226" s="629" t="s">
        <v>213</v>
      </c>
      <c r="E226" s="630">
        <v>2.8</v>
      </c>
      <c r="F226" s="630" t="s">
        <v>122</v>
      </c>
      <c r="G226" s="630">
        <v>0</v>
      </c>
      <c r="H226" s="630">
        <v>2</v>
      </c>
      <c r="I226" s="630">
        <v>2</v>
      </c>
      <c r="J226" s="630">
        <v>0</v>
      </c>
      <c r="K226" s="630">
        <v>4</v>
      </c>
      <c r="L226" s="630">
        <v>2</v>
      </c>
      <c r="M226" s="642">
        <v>5.6</v>
      </c>
    </row>
    <row r="227" spans="1:13" ht="15" customHeight="1">
      <c r="A227" s="639">
        <v>11150</v>
      </c>
      <c r="B227" s="627" t="s">
        <v>123</v>
      </c>
      <c r="C227" s="627" t="s">
        <v>661</v>
      </c>
      <c r="D227" s="627" t="s">
        <v>662</v>
      </c>
      <c r="E227" s="628">
        <v>2.25</v>
      </c>
      <c r="F227" s="628" t="s">
        <v>119</v>
      </c>
      <c r="G227" s="628">
        <v>0</v>
      </c>
      <c r="H227" s="628">
        <v>0</v>
      </c>
      <c r="I227" s="628">
        <v>3</v>
      </c>
      <c r="J227" s="628">
        <v>0</v>
      </c>
      <c r="K227" s="628">
        <v>3</v>
      </c>
      <c r="L227" s="628">
        <v>3</v>
      </c>
      <c r="M227" s="640">
        <v>6.75</v>
      </c>
    </row>
    <row r="228" spans="1:13" ht="15" customHeight="1">
      <c r="A228" s="641">
        <v>11150</v>
      </c>
      <c r="B228" s="629" t="s">
        <v>123</v>
      </c>
      <c r="C228" s="629" t="s">
        <v>661</v>
      </c>
      <c r="D228" s="629" t="s">
        <v>662</v>
      </c>
      <c r="E228" s="630">
        <v>2.25</v>
      </c>
      <c r="F228" s="630" t="s">
        <v>122</v>
      </c>
      <c r="G228" s="630">
        <v>0</v>
      </c>
      <c r="H228" s="630">
        <v>0</v>
      </c>
      <c r="I228" s="630">
        <v>2</v>
      </c>
      <c r="J228" s="630">
        <v>0</v>
      </c>
      <c r="K228" s="630">
        <v>2</v>
      </c>
      <c r="L228" s="630">
        <v>2</v>
      </c>
      <c r="M228" s="642">
        <v>4.5</v>
      </c>
    </row>
    <row r="229" spans="1:13" ht="15" customHeight="1">
      <c r="A229" s="643">
        <v>11150</v>
      </c>
      <c r="B229" s="631" t="s">
        <v>163</v>
      </c>
      <c r="C229" s="631"/>
      <c r="D229" s="631"/>
      <c r="E229" s="631"/>
      <c r="F229" s="632" t="s">
        <v>132</v>
      </c>
      <c r="G229" s="632">
        <v>19</v>
      </c>
      <c r="H229" s="632">
        <v>0</v>
      </c>
      <c r="I229" s="632">
        <v>3</v>
      </c>
      <c r="J229" s="632">
        <v>0</v>
      </c>
      <c r="K229" s="632">
        <v>22</v>
      </c>
      <c r="L229" s="632"/>
      <c r="M229" s="644"/>
    </row>
    <row r="230" spans="1:13" ht="15" customHeight="1">
      <c r="A230" s="643">
        <v>11150</v>
      </c>
      <c r="B230" s="631" t="s">
        <v>163</v>
      </c>
      <c r="C230" s="631"/>
      <c r="D230" s="631"/>
      <c r="E230" s="631"/>
      <c r="F230" s="632" t="s">
        <v>109</v>
      </c>
      <c r="G230" s="632">
        <v>0</v>
      </c>
      <c r="H230" s="632">
        <v>3</v>
      </c>
      <c r="I230" s="632">
        <v>40</v>
      </c>
      <c r="J230" s="632">
        <v>0</v>
      </c>
      <c r="K230" s="632">
        <v>43</v>
      </c>
      <c r="L230" s="632"/>
      <c r="M230" s="644"/>
    </row>
    <row r="231" spans="1:13" ht="15" customHeight="1">
      <c r="A231" s="643">
        <v>11150</v>
      </c>
      <c r="B231" s="631" t="s">
        <v>163</v>
      </c>
      <c r="C231" s="631"/>
      <c r="D231" s="631"/>
      <c r="E231" s="631"/>
      <c r="F231" s="632" t="s">
        <v>110</v>
      </c>
      <c r="G231" s="632">
        <v>152</v>
      </c>
      <c r="H231" s="632">
        <v>0</v>
      </c>
      <c r="I231" s="632">
        <v>66</v>
      </c>
      <c r="J231" s="632">
        <v>0</v>
      </c>
      <c r="K231" s="632">
        <v>218</v>
      </c>
      <c r="L231" s="632"/>
      <c r="M231" s="644"/>
    </row>
    <row r="232" spans="1:13" ht="15" customHeight="1">
      <c r="A232" s="643">
        <v>11150</v>
      </c>
      <c r="B232" s="631" t="s">
        <v>163</v>
      </c>
      <c r="C232" s="631"/>
      <c r="D232" s="631"/>
      <c r="E232" s="631"/>
      <c r="F232" s="632" t="s">
        <v>113</v>
      </c>
      <c r="G232" s="632">
        <v>0</v>
      </c>
      <c r="H232" s="632">
        <v>41</v>
      </c>
      <c r="I232" s="632">
        <v>821</v>
      </c>
      <c r="J232" s="632">
        <v>7</v>
      </c>
      <c r="K232" s="632">
        <v>869</v>
      </c>
      <c r="L232" s="632"/>
      <c r="M232" s="644"/>
    </row>
    <row r="233" spans="1:13" ht="15" customHeight="1">
      <c r="A233" s="643">
        <v>11150</v>
      </c>
      <c r="B233" s="631" t="s">
        <v>163</v>
      </c>
      <c r="C233" s="631"/>
      <c r="D233" s="631"/>
      <c r="E233" s="631"/>
      <c r="F233" s="632" t="s">
        <v>116</v>
      </c>
      <c r="G233" s="632">
        <v>0</v>
      </c>
      <c r="H233" s="632">
        <v>0</v>
      </c>
      <c r="I233" s="632">
        <v>0</v>
      </c>
      <c r="J233" s="632">
        <v>0</v>
      </c>
      <c r="K233" s="632">
        <v>0</v>
      </c>
      <c r="L233" s="632"/>
      <c r="M233" s="644"/>
    </row>
    <row r="234" spans="1:13" ht="15" customHeight="1">
      <c r="A234" s="643">
        <v>11150</v>
      </c>
      <c r="B234" s="631" t="s">
        <v>163</v>
      </c>
      <c r="C234" s="631"/>
      <c r="D234" s="631"/>
      <c r="E234" s="631"/>
      <c r="F234" s="632" t="s">
        <v>114</v>
      </c>
      <c r="G234" s="632">
        <v>0</v>
      </c>
      <c r="H234" s="632">
        <v>0</v>
      </c>
      <c r="I234" s="632">
        <v>0</v>
      </c>
      <c r="J234" s="632">
        <v>0</v>
      </c>
      <c r="K234" s="632">
        <v>0</v>
      </c>
      <c r="L234" s="632"/>
      <c r="M234" s="644"/>
    </row>
    <row r="235" spans="1:13" ht="15" customHeight="1">
      <c r="A235" s="643">
        <v>11150</v>
      </c>
      <c r="B235" s="631" t="s">
        <v>163</v>
      </c>
      <c r="C235" s="631"/>
      <c r="D235" s="631"/>
      <c r="E235" s="631"/>
      <c r="F235" s="632" t="s">
        <v>119</v>
      </c>
      <c r="G235" s="632">
        <v>0</v>
      </c>
      <c r="H235" s="632">
        <v>2</v>
      </c>
      <c r="I235" s="632">
        <v>39</v>
      </c>
      <c r="J235" s="632">
        <v>0</v>
      </c>
      <c r="K235" s="632">
        <v>41</v>
      </c>
      <c r="L235" s="632"/>
      <c r="M235" s="644"/>
    </row>
    <row r="236" spans="1:13" ht="15" customHeight="1">
      <c r="A236" s="643">
        <v>11150</v>
      </c>
      <c r="B236" s="631" t="s">
        <v>163</v>
      </c>
      <c r="C236" s="631"/>
      <c r="D236" s="631"/>
      <c r="E236" s="631"/>
      <c r="F236" s="632" t="s">
        <v>122</v>
      </c>
      <c r="G236" s="632">
        <v>0</v>
      </c>
      <c r="H236" s="632">
        <v>84</v>
      </c>
      <c r="I236" s="632">
        <v>105</v>
      </c>
      <c r="J236" s="632">
        <v>1</v>
      </c>
      <c r="K236" s="632">
        <v>190</v>
      </c>
      <c r="L236" s="632"/>
      <c r="M236" s="644"/>
    </row>
    <row r="237" spans="1:13" ht="15" customHeight="1">
      <c r="A237" s="639">
        <v>11160</v>
      </c>
      <c r="B237" s="627" t="s">
        <v>214</v>
      </c>
      <c r="C237" s="627" t="s">
        <v>215</v>
      </c>
      <c r="D237" s="627" t="s">
        <v>36</v>
      </c>
      <c r="E237" s="628">
        <v>2.25</v>
      </c>
      <c r="F237" s="628" t="s">
        <v>132</v>
      </c>
      <c r="G237" s="628">
        <v>55</v>
      </c>
      <c r="H237" s="628">
        <v>7</v>
      </c>
      <c r="I237" s="628">
        <v>20</v>
      </c>
      <c r="J237" s="628">
        <v>0</v>
      </c>
      <c r="K237" s="628">
        <v>82</v>
      </c>
      <c r="L237" s="628">
        <v>75</v>
      </c>
      <c r="M237" s="640">
        <v>168.75</v>
      </c>
    </row>
    <row r="238" spans="1:13" ht="15" customHeight="1">
      <c r="A238" s="641">
        <v>11160</v>
      </c>
      <c r="B238" s="629" t="s">
        <v>214</v>
      </c>
      <c r="C238" s="629" t="s">
        <v>215</v>
      </c>
      <c r="D238" s="629" t="s">
        <v>36</v>
      </c>
      <c r="E238" s="630">
        <v>2.25</v>
      </c>
      <c r="F238" s="630" t="s">
        <v>109</v>
      </c>
      <c r="G238" s="630">
        <v>0</v>
      </c>
      <c r="H238" s="630">
        <v>14</v>
      </c>
      <c r="I238" s="630">
        <v>90</v>
      </c>
      <c r="J238" s="630">
        <v>4</v>
      </c>
      <c r="K238" s="630">
        <v>108</v>
      </c>
      <c r="L238" s="630">
        <v>92</v>
      </c>
      <c r="M238" s="642">
        <v>207</v>
      </c>
    </row>
    <row r="239" spans="1:13" ht="15" customHeight="1">
      <c r="A239" s="639">
        <v>11160</v>
      </c>
      <c r="B239" s="627" t="s">
        <v>214</v>
      </c>
      <c r="C239" s="627" t="s">
        <v>32</v>
      </c>
      <c r="D239" s="627" t="s">
        <v>33</v>
      </c>
      <c r="E239" s="628">
        <v>2.25</v>
      </c>
      <c r="F239" s="628" t="s">
        <v>110</v>
      </c>
      <c r="G239" s="628">
        <v>235</v>
      </c>
      <c r="H239" s="628">
        <v>2</v>
      </c>
      <c r="I239" s="628">
        <v>51</v>
      </c>
      <c r="J239" s="628">
        <v>0</v>
      </c>
      <c r="K239" s="628">
        <v>288</v>
      </c>
      <c r="L239" s="628">
        <v>286</v>
      </c>
      <c r="M239" s="640">
        <v>643.5</v>
      </c>
    </row>
    <row r="240" spans="1:13" ht="15" customHeight="1">
      <c r="A240" s="641">
        <v>11160</v>
      </c>
      <c r="B240" s="629" t="s">
        <v>214</v>
      </c>
      <c r="C240" s="629" t="s">
        <v>32</v>
      </c>
      <c r="D240" s="629" t="s">
        <v>33</v>
      </c>
      <c r="E240" s="630">
        <v>2.25</v>
      </c>
      <c r="F240" s="630" t="s">
        <v>113</v>
      </c>
      <c r="G240" s="630">
        <v>0</v>
      </c>
      <c r="H240" s="630">
        <v>32</v>
      </c>
      <c r="I240" s="630">
        <v>782</v>
      </c>
      <c r="J240" s="630">
        <v>3</v>
      </c>
      <c r="K240" s="630">
        <v>817</v>
      </c>
      <c r="L240" s="630">
        <v>783.5</v>
      </c>
      <c r="M240" s="642">
        <v>1762.88</v>
      </c>
    </row>
    <row r="241" spans="1:13" ht="15" customHeight="1">
      <c r="A241" s="639">
        <v>11160</v>
      </c>
      <c r="B241" s="627" t="s">
        <v>214</v>
      </c>
      <c r="C241" s="627" t="s">
        <v>216</v>
      </c>
      <c r="D241" s="627" t="s">
        <v>36</v>
      </c>
      <c r="E241" s="628">
        <v>2.25</v>
      </c>
      <c r="F241" s="628" t="s">
        <v>116</v>
      </c>
      <c r="G241" s="628">
        <v>0</v>
      </c>
      <c r="H241" s="628">
        <v>0</v>
      </c>
      <c r="I241" s="628">
        <v>31</v>
      </c>
      <c r="J241" s="628">
        <v>0</v>
      </c>
      <c r="K241" s="628">
        <v>31</v>
      </c>
      <c r="L241" s="628">
        <v>31</v>
      </c>
      <c r="M241" s="640">
        <v>69.75</v>
      </c>
    </row>
    <row r="242" spans="1:13" ht="15" customHeight="1">
      <c r="A242" s="641">
        <v>11160</v>
      </c>
      <c r="B242" s="629" t="s">
        <v>214</v>
      </c>
      <c r="C242" s="629" t="s">
        <v>216</v>
      </c>
      <c r="D242" s="629" t="s">
        <v>36</v>
      </c>
      <c r="E242" s="630">
        <v>2.25</v>
      </c>
      <c r="F242" s="630" t="s">
        <v>114</v>
      </c>
      <c r="G242" s="630">
        <v>0</v>
      </c>
      <c r="H242" s="630">
        <v>1</v>
      </c>
      <c r="I242" s="630">
        <v>39</v>
      </c>
      <c r="J242" s="630">
        <v>0</v>
      </c>
      <c r="K242" s="630">
        <v>40</v>
      </c>
      <c r="L242" s="630">
        <v>39</v>
      </c>
      <c r="M242" s="642">
        <v>87.75</v>
      </c>
    </row>
    <row r="243" spans="1:13" ht="15" customHeight="1">
      <c r="A243" s="639">
        <v>11160</v>
      </c>
      <c r="B243" s="627" t="s">
        <v>214</v>
      </c>
      <c r="C243" s="627" t="s">
        <v>217</v>
      </c>
      <c r="D243" s="627" t="s">
        <v>218</v>
      </c>
      <c r="E243" s="628">
        <v>2.8</v>
      </c>
      <c r="F243" s="628" t="s">
        <v>119</v>
      </c>
      <c r="G243" s="628">
        <v>0</v>
      </c>
      <c r="H243" s="628">
        <v>0</v>
      </c>
      <c r="I243" s="628">
        <v>2</v>
      </c>
      <c r="J243" s="628">
        <v>0</v>
      </c>
      <c r="K243" s="628">
        <v>2</v>
      </c>
      <c r="L243" s="628">
        <v>2</v>
      </c>
      <c r="M243" s="640">
        <v>5.6</v>
      </c>
    </row>
    <row r="244" spans="1:13" ht="15" customHeight="1">
      <c r="A244" s="641">
        <v>11160</v>
      </c>
      <c r="B244" s="629" t="s">
        <v>214</v>
      </c>
      <c r="C244" s="629" t="s">
        <v>217</v>
      </c>
      <c r="D244" s="629" t="s">
        <v>218</v>
      </c>
      <c r="E244" s="630">
        <v>2.8</v>
      </c>
      <c r="F244" s="630" t="s">
        <v>122</v>
      </c>
      <c r="G244" s="630">
        <v>0</v>
      </c>
      <c r="H244" s="630">
        <v>6</v>
      </c>
      <c r="I244" s="630">
        <v>6</v>
      </c>
      <c r="J244" s="630">
        <v>0</v>
      </c>
      <c r="K244" s="630">
        <v>12</v>
      </c>
      <c r="L244" s="630">
        <v>6</v>
      </c>
      <c r="M244" s="642">
        <v>16.8</v>
      </c>
    </row>
    <row r="245" spans="1:13" ht="15" customHeight="1">
      <c r="A245" s="639">
        <v>11160</v>
      </c>
      <c r="B245" s="627" t="s">
        <v>214</v>
      </c>
      <c r="C245" s="627" t="s">
        <v>219</v>
      </c>
      <c r="D245" s="627" t="s">
        <v>220</v>
      </c>
      <c r="E245" s="628">
        <v>2.8</v>
      </c>
      <c r="F245" s="628" t="s">
        <v>119</v>
      </c>
      <c r="G245" s="628">
        <v>0</v>
      </c>
      <c r="H245" s="628">
        <v>0</v>
      </c>
      <c r="I245" s="628">
        <v>7</v>
      </c>
      <c r="J245" s="628">
        <v>0</v>
      </c>
      <c r="K245" s="628">
        <v>7</v>
      </c>
      <c r="L245" s="628">
        <v>7</v>
      </c>
      <c r="M245" s="640">
        <v>19.6</v>
      </c>
    </row>
    <row r="246" spans="1:13" ht="15" customHeight="1">
      <c r="A246" s="641">
        <v>11160</v>
      </c>
      <c r="B246" s="629" t="s">
        <v>214</v>
      </c>
      <c r="C246" s="629" t="s">
        <v>219</v>
      </c>
      <c r="D246" s="629" t="s">
        <v>220</v>
      </c>
      <c r="E246" s="630">
        <v>2.8</v>
      </c>
      <c r="F246" s="630" t="s">
        <v>122</v>
      </c>
      <c r="G246" s="630">
        <v>0</v>
      </c>
      <c r="H246" s="630">
        <v>2</v>
      </c>
      <c r="I246" s="630">
        <v>7</v>
      </c>
      <c r="J246" s="630">
        <v>1</v>
      </c>
      <c r="K246" s="630">
        <v>10</v>
      </c>
      <c r="L246" s="630">
        <v>7.5</v>
      </c>
      <c r="M246" s="642">
        <v>21</v>
      </c>
    </row>
    <row r="247" spans="1:13" ht="15" customHeight="1">
      <c r="A247" s="639">
        <v>11160</v>
      </c>
      <c r="B247" s="627" t="s">
        <v>214</v>
      </c>
      <c r="C247" s="627" t="s">
        <v>34</v>
      </c>
      <c r="D247" s="627" t="s">
        <v>33</v>
      </c>
      <c r="E247" s="628">
        <v>2.25</v>
      </c>
      <c r="F247" s="628" t="s">
        <v>119</v>
      </c>
      <c r="G247" s="628">
        <v>0</v>
      </c>
      <c r="H247" s="628">
        <v>0</v>
      </c>
      <c r="I247" s="628">
        <v>21</v>
      </c>
      <c r="J247" s="628">
        <v>0</v>
      </c>
      <c r="K247" s="628">
        <v>21</v>
      </c>
      <c r="L247" s="628">
        <v>21</v>
      </c>
      <c r="M247" s="640">
        <v>47.25</v>
      </c>
    </row>
    <row r="248" spans="1:13" ht="15" customHeight="1">
      <c r="A248" s="641">
        <v>11160</v>
      </c>
      <c r="B248" s="629" t="s">
        <v>214</v>
      </c>
      <c r="C248" s="629" t="s">
        <v>34</v>
      </c>
      <c r="D248" s="629" t="s">
        <v>33</v>
      </c>
      <c r="E248" s="630">
        <v>2.25</v>
      </c>
      <c r="F248" s="630" t="s">
        <v>122</v>
      </c>
      <c r="G248" s="630">
        <v>0</v>
      </c>
      <c r="H248" s="630">
        <v>13</v>
      </c>
      <c r="I248" s="630">
        <v>56</v>
      </c>
      <c r="J248" s="630">
        <v>1</v>
      </c>
      <c r="K248" s="630">
        <v>70</v>
      </c>
      <c r="L248" s="630">
        <v>56.5</v>
      </c>
      <c r="M248" s="642">
        <v>127.13</v>
      </c>
    </row>
    <row r="249" spans="1:13" ht="15" customHeight="1">
      <c r="A249" s="639">
        <v>11160</v>
      </c>
      <c r="B249" s="627" t="s">
        <v>214</v>
      </c>
      <c r="C249" s="627" t="s">
        <v>35</v>
      </c>
      <c r="D249" s="627" t="s">
        <v>36</v>
      </c>
      <c r="E249" s="628">
        <v>2.25</v>
      </c>
      <c r="F249" s="628" t="s">
        <v>119</v>
      </c>
      <c r="G249" s="628">
        <v>0</v>
      </c>
      <c r="H249" s="628">
        <v>0</v>
      </c>
      <c r="I249" s="628">
        <v>3</v>
      </c>
      <c r="J249" s="628">
        <v>0</v>
      </c>
      <c r="K249" s="628">
        <v>3</v>
      </c>
      <c r="L249" s="628">
        <v>3</v>
      </c>
      <c r="M249" s="640">
        <v>6.75</v>
      </c>
    </row>
    <row r="250" spans="1:13" ht="15" customHeight="1">
      <c r="A250" s="641">
        <v>11160</v>
      </c>
      <c r="B250" s="629" t="s">
        <v>214</v>
      </c>
      <c r="C250" s="629" t="s">
        <v>35</v>
      </c>
      <c r="D250" s="629" t="s">
        <v>36</v>
      </c>
      <c r="E250" s="630">
        <v>2.25</v>
      </c>
      <c r="F250" s="630" t="s">
        <v>122</v>
      </c>
      <c r="G250" s="630">
        <v>0</v>
      </c>
      <c r="H250" s="630">
        <v>2</v>
      </c>
      <c r="I250" s="630">
        <v>9</v>
      </c>
      <c r="J250" s="630">
        <v>0</v>
      </c>
      <c r="K250" s="630">
        <v>11</v>
      </c>
      <c r="L250" s="630">
        <v>9</v>
      </c>
      <c r="M250" s="642">
        <v>20.25</v>
      </c>
    </row>
    <row r="251" spans="1:13" ht="15" customHeight="1">
      <c r="A251" s="643">
        <v>11160</v>
      </c>
      <c r="B251" s="631" t="s">
        <v>163</v>
      </c>
      <c r="C251" s="631"/>
      <c r="D251" s="631"/>
      <c r="E251" s="631"/>
      <c r="F251" s="632" t="s">
        <v>132</v>
      </c>
      <c r="G251" s="632">
        <v>55</v>
      </c>
      <c r="H251" s="632">
        <v>7</v>
      </c>
      <c r="I251" s="632">
        <v>20</v>
      </c>
      <c r="J251" s="632">
        <v>0</v>
      </c>
      <c r="K251" s="632">
        <v>82</v>
      </c>
      <c r="L251" s="632"/>
      <c r="M251" s="644"/>
    </row>
    <row r="252" spans="1:13" ht="15" customHeight="1">
      <c r="A252" s="643">
        <v>11160</v>
      </c>
      <c r="B252" s="631" t="s">
        <v>163</v>
      </c>
      <c r="C252" s="631"/>
      <c r="D252" s="631"/>
      <c r="E252" s="631"/>
      <c r="F252" s="632" t="s">
        <v>109</v>
      </c>
      <c r="G252" s="632">
        <v>0</v>
      </c>
      <c r="H252" s="632">
        <v>14</v>
      </c>
      <c r="I252" s="632">
        <v>90</v>
      </c>
      <c r="J252" s="632">
        <v>4</v>
      </c>
      <c r="K252" s="632">
        <v>108</v>
      </c>
      <c r="L252" s="632"/>
      <c r="M252" s="644"/>
    </row>
    <row r="253" spans="1:13" ht="15" customHeight="1">
      <c r="A253" s="643">
        <v>11160</v>
      </c>
      <c r="B253" s="631" t="s">
        <v>163</v>
      </c>
      <c r="C253" s="631"/>
      <c r="D253" s="631"/>
      <c r="E253" s="631"/>
      <c r="F253" s="632" t="s">
        <v>110</v>
      </c>
      <c r="G253" s="632">
        <v>235</v>
      </c>
      <c r="H253" s="632">
        <v>2</v>
      </c>
      <c r="I253" s="632">
        <v>51</v>
      </c>
      <c r="J253" s="632">
        <v>0</v>
      </c>
      <c r="K253" s="632">
        <v>288</v>
      </c>
      <c r="L253" s="632"/>
      <c r="M253" s="644"/>
    </row>
    <row r="254" spans="1:13" ht="15" customHeight="1">
      <c r="A254" s="643">
        <v>11160</v>
      </c>
      <c r="B254" s="631" t="s">
        <v>163</v>
      </c>
      <c r="C254" s="631"/>
      <c r="D254" s="631"/>
      <c r="E254" s="631"/>
      <c r="F254" s="632" t="s">
        <v>113</v>
      </c>
      <c r="G254" s="632">
        <v>0</v>
      </c>
      <c r="H254" s="632">
        <v>32</v>
      </c>
      <c r="I254" s="632">
        <v>782</v>
      </c>
      <c r="J254" s="632">
        <v>3</v>
      </c>
      <c r="K254" s="632">
        <v>817</v>
      </c>
      <c r="L254" s="632"/>
      <c r="M254" s="644"/>
    </row>
    <row r="255" spans="1:13" ht="15" customHeight="1">
      <c r="A255" s="643">
        <v>11160</v>
      </c>
      <c r="B255" s="631" t="s">
        <v>163</v>
      </c>
      <c r="C255" s="631"/>
      <c r="D255" s="631"/>
      <c r="E255" s="631"/>
      <c r="F255" s="632" t="s">
        <v>116</v>
      </c>
      <c r="G255" s="632">
        <v>0</v>
      </c>
      <c r="H255" s="632">
        <v>0</v>
      </c>
      <c r="I255" s="632">
        <v>31</v>
      </c>
      <c r="J255" s="632">
        <v>0</v>
      </c>
      <c r="K255" s="632">
        <v>31</v>
      </c>
      <c r="L255" s="632"/>
      <c r="M255" s="644"/>
    </row>
    <row r="256" spans="1:13" ht="15" customHeight="1">
      <c r="A256" s="643">
        <v>11160</v>
      </c>
      <c r="B256" s="631" t="s">
        <v>163</v>
      </c>
      <c r="C256" s="631"/>
      <c r="D256" s="631"/>
      <c r="E256" s="631"/>
      <c r="F256" s="632" t="s">
        <v>114</v>
      </c>
      <c r="G256" s="632">
        <v>0</v>
      </c>
      <c r="H256" s="632">
        <v>1</v>
      </c>
      <c r="I256" s="632">
        <v>39</v>
      </c>
      <c r="J256" s="632">
        <v>0</v>
      </c>
      <c r="K256" s="632">
        <v>40</v>
      </c>
      <c r="L256" s="632"/>
      <c r="M256" s="644"/>
    </row>
    <row r="257" spans="1:13" ht="15" customHeight="1">
      <c r="A257" s="643">
        <v>11160</v>
      </c>
      <c r="B257" s="631" t="s">
        <v>163</v>
      </c>
      <c r="C257" s="631"/>
      <c r="D257" s="631"/>
      <c r="E257" s="631"/>
      <c r="F257" s="632" t="s">
        <v>119</v>
      </c>
      <c r="G257" s="632">
        <v>0</v>
      </c>
      <c r="H257" s="632">
        <v>0</v>
      </c>
      <c r="I257" s="632">
        <v>33</v>
      </c>
      <c r="J257" s="632">
        <v>0</v>
      </c>
      <c r="K257" s="632">
        <v>33</v>
      </c>
      <c r="L257" s="632"/>
      <c r="M257" s="644"/>
    </row>
    <row r="258" spans="1:13" ht="15" customHeight="1">
      <c r="A258" s="643">
        <v>11160</v>
      </c>
      <c r="B258" s="631" t="s">
        <v>163</v>
      </c>
      <c r="C258" s="631"/>
      <c r="D258" s="631"/>
      <c r="E258" s="631"/>
      <c r="F258" s="632" t="s">
        <v>122</v>
      </c>
      <c r="G258" s="632">
        <v>0</v>
      </c>
      <c r="H258" s="632">
        <v>23</v>
      </c>
      <c r="I258" s="632">
        <v>78</v>
      </c>
      <c r="J258" s="632">
        <v>2</v>
      </c>
      <c r="K258" s="632">
        <v>103</v>
      </c>
      <c r="L258" s="632"/>
      <c r="M258" s="644"/>
    </row>
    <row r="259" spans="1:13" ht="15" customHeight="1">
      <c r="A259" s="639">
        <v>11210</v>
      </c>
      <c r="B259" s="627" t="s">
        <v>221</v>
      </c>
      <c r="C259" s="627" t="s">
        <v>222</v>
      </c>
      <c r="D259" s="627" t="s">
        <v>62</v>
      </c>
      <c r="E259" s="628">
        <v>1</v>
      </c>
      <c r="F259" s="628" t="s">
        <v>132</v>
      </c>
      <c r="G259" s="628">
        <v>16</v>
      </c>
      <c r="H259" s="628">
        <v>2</v>
      </c>
      <c r="I259" s="628">
        <v>15</v>
      </c>
      <c r="J259" s="628">
        <v>0</v>
      </c>
      <c r="K259" s="628">
        <v>33</v>
      </c>
      <c r="L259" s="628">
        <v>31</v>
      </c>
      <c r="M259" s="640">
        <v>31</v>
      </c>
    </row>
    <row r="260" spans="1:13" ht="15" customHeight="1">
      <c r="A260" s="641">
        <v>11210</v>
      </c>
      <c r="B260" s="629" t="s">
        <v>221</v>
      </c>
      <c r="C260" s="629" t="s">
        <v>222</v>
      </c>
      <c r="D260" s="629" t="s">
        <v>62</v>
      </c>
      <c r="E260" s="630">
        <v>1</v>
      </c>
      <c r="F260" s="630" t="s">
        <v>109</v>
      </c>
      <c r="G260" s="630">
        <v>0</v>
      </c>
      <c r="H260" s="630">
        <v>26</v>
      </c>
      <c r="I260" s="630">
        <v>41</v>
      </c>
      <c r="J260" s="630">
        <v>2</v>
      </c>
      <c r="K260" s="630">
        <v>69</v>
      </c>
      <c r="L260" s="630">
        <v>42</v>
      </c>
      <c r="M260" s="642">
        <v>42</v>
      </c>
    </row>
    <row r="261" spans="1:13" ht="15" customHeight="1">
      <c r="A261" s="639">
        <v>11210</v>
      </c>
      <c r="B261" s="627" t="s">
        <v>221</v>
      </c>
      <c r="C261" s="627" t="s">
        <v>223</v>
      </c>
      <c r="D261" s="627" t="s">
        <v>224</v>
      </c>
      <c r="E261" s="628">
        <v>1</v>
      </c>
      <c r="F261" s="628" t="s">
        <v>109</v>
      </c>
      <c r="G261" s="628">
        <v>0</v>
      </c>
      <c r="H261" s="628">
        <v>4</v>
      </c>
      <c r="I261" s="628">
        <v>12</v>
      </c>
      <c r="J261" s="628">
        <v>0</v>
      </c>
      <c r="K261" s="628">
        <v>16</v>
      </c>
      <c r="L261" s="628">
        <v>12</v>
      </c>
      <c r="M261" s="640">
        <v>12</v>
      </c>
    </row>
    <row r="262" spans="1:13" ht="15" customHeight="1">
      <c r="A262" s="641">
        <v>11210</v>
      </c>
      <c r="B262" s="629" t="s">
        <v>221</v>
      </c>
      <c r="C262" s="629" t="s">
        <v>225</v>
      </c>
      <c r="D262" s="629" t="s">
        <v>226</v>
      </c>
      <c r="E262" s="630">
        <v>1</v>
      </c>
      <c r="F262" s="630" t="s">
        <v>132</v>
      </c>
      <c r="G262" s="630">
        <v>78</v>
      </c>
      <c r="H262" s="630">
        <v>4</v>
      </c>
      <c r="I262" s="630">
        <v>45</v>
      </c>
      <c r="J262" s="630">
        <v>0</v>
      </c>
      <c r="K262" s="630">
        <v>127</v>
      </c>
      <c r="L262" s="630">
        <v>123</v>
      </c>
      <c r="M262" s="642">
        <v>123</v>
      </c>
    </row>
    <row r="263" spans="1:13" ht="15" customHeight="1">
      <c r="A263" s="639">
        <v>11210</v>
      </c>
      <c r="B263" s="627" t="s">
        <v>221</v>
      </c>
      <c r="C263" s="627" t="s">
        <v>225</v>
      </c>
      <c r="D263" s="627" t="s">
        <v>226</v>
      </c>
      <c r="E263" s="628">
        <v>1</v>
      </c>
      <c r="F263" s="628" t="s">
        <v>109</v>
      </c>
      <c r="G263" s="628">
        <v>0</v>
      </c>
      <c r="H263" s="628">
        <v>40</v>
      </c>
      <c r="I263" s="628">
        <v>197</v>
      </c>
      <c r="J263" s="628">
        <v>1</v>
      </c>
      <c r="K263" s="628">
        <v>238</v>
      </c>
      <c r="L263" s="628">
        <v>197.5</v>
      </c>
      <c r="M263" s="640">
        <v>197.5</v>
      </c>
    </row>
    <row r="264" spans="1:13" ht="15" customHeight="1">
      <c r="A264" s="641">
        <v>11210</v>
      </c>
      <c r="B264" s="629" t="s">
        <v>221</v>
      </c>
      <c r="C264" s="629" t="s">
        <v>227</v>
      </c>
      <c r="D264" s="629" t="s">
        <v>50</v>
      </c>
      <c r="E264" s="630">
        <v>1</v>
      </c>
      <c r="F264" s="630" t="s">
        <v>132</v>
      </c>
      <c r="G264" s="630">
        <v>8</v>
      </c>
      <c r="H264" s="630">
        <v>4</v>
      </c>
      <c r="I264" s="630">
        <v>4</v>
      </c>
      <c r="J264" s="630">
        <v>0</v>
      </c>
      <c r="K264" s="630">
        <v>16</v>
      </c>
      <c r="L264" s="630">
        <v>12</v>
      </c>
      <c r="M264" s="642">
        <v>12</v>
      </c>
    </row>
    <row r="265" spans="1:13" ht="15" customHeight="1">
      <c r="A265" s="639">
        <v>11210</v>
      </c>
      <c r="B265" s="627" t="s">
        <v>221</v>
      </c>
      <c r="C265" s="627" t="s">
        <v>227</v>
      </c>
      <c r="D265" s="627" t="s">
        <v>50</v>
      </c>
      <c r="E265" s="628">
        <v>1</v>
      </c>
      <c r="F265" s="628" t="s">
        <v>109</v>
      </c>
      <c r="G265" s="628">
        <v>0</v>
      </c>
      <c r="H265" s="628">
        <v>12</v>
      </c>
      <c r="I265" s="628">
        <v>48</v>
      </c>
      <c r="J265" s="628">
        <v>0</v>
      </c>
      <c r="K265" s="628">
        <v>60</v>
      </c>
      <c r="L265" s="628">
        <v>48</v>
      </c>
      <c r="M265" s="640">
        <v>48</v>
      </c>
    </row>
    <row r="266" spans="1:13" ht="15" customHeight="1">
      <c r="A266" s="641">
        <v>11210</v>
      </c>
      <c r="B266" s="629" t="s">
        <v>221</v>
      </c>
      <c r="C266" s="629" t="s">
        <v>228</v>
      </c>
      <c r="D266" s="629" t="s">
        <v>54</v>
      </c>
      <c r="E266" s="630">
        <v>1</v>
      </c>
      <c r="F266" s="630" t="s">
        <v>132</v>
      </c>
      <c r="G266" s="630">
        <v>32</v>
      </c>
      <c r="H266" s="630">
        <v>1</v>
      </c>
      <c r="I266" s="630">
        <v>12</v>
      </c>
      <c r="J266" s="630">
        <v>0</v>
      </c>
      <c r="K266" s="630">
        <v>45</v>
      </c>
      <c r="L266" s="630">
        <v>44</v>
      </c>
      <c r="M266" s="642">
        <v>44</v>
      </c>
    </row>
    <row r="267" spans="1:13" ht="15" customHeight="1">
      <c r="A267" s="639">
        <v>11210</v>
      </c>
      <c r="B267" s="627" t="s">
        <v>221</v>
      </c>
      <c r="C267" s="627" t="s">
        <v>228</v>
      </c>
      <c r="D267" s="627" t="s">
        <v>54</v>
      </c>
      <c r="E267" s="628">
        <v>1</v>
      </c>
      <c r="F267" s="628" t="s">
        <v>109</v>
      </c>
      <c r="G267" s="628">
        <v>0</v>
      </c>
      <c r="H267" s="628">
        <v>14</v>
      </c>
      <c r="I267" s="628">
        <v>49</v>
      </c>
      <c r="J267" s="628">
        <v>0</v>
      </c>
      <c r="K267" s="628">
        <v>63</v>
      </c>
      <c r="L267" s="628">
        <v>49</v>
      </c>
      <c r="M267" s="640">
        <v>49</v>
      </c>
    </row>
    <row r="268" spans="1:13" ht="15" customHeight="1">
      <c r="A268" s="641">
        <v>11210</v>
      </c>
      <c r="B268" s="629" t="s">
        <v>221</v>
      </c>
      <c r="C268" s="629" t="s">
        <v>229</v>
      </c>
      <c r="D268" s="629" t="s">
        <v>230</v>
      </c>
      <c r="E268" s="630">
        <v>1</v>
      </c>
      <c r="F268" s="630" t="s">
        <v>132</v>
      </c>
      <c r="G268" s="630">
        <v>20</v>
      </c>
      <c r="H268" s="630">
        <v>1</v>
      </c>
      <c r="I268" s="630">
        <v>9</v>
      </c>
      <c r="J268" s="630">
        <v>1</v>
      </c>
      <c r="K268" s="630">
        <v>31</v>
      </c>
      <c r="L268" s="630">
        <v>29.5</v>
      </c>
      <c r="M268" s="642">
        <v>29.5</v>
      </c>
    </row>
    <row r="269" spans="1:13" ht="15" customHeight="1">
      <c r="A269" s="639">
        <v>11210</v>
      </c>
      <c r="B269" s="627" t="s">
        <v>221</v>
      </c>
      <c r="C269" s="627" t="s">
        <v>229</v>
      </c>
      <c r="D269" s="627" t="s">
        <v>230</v>
      </c>
      <c r="E269" s="628">
        <v>1</v>
      </c>
      <c r="F269" s="628" t="s">
        <v>109</v>
      </c>
      <c r="G269" s="628">
        <v>0</v>
      </c>
      <c r="H269" s="628">
        <v>14</v>
      </c>
      <c r="I269" s="628">
        <v>50</v>
      </c>
      <c r="J269" s="628">
        <v>1</v>
      </c>
      <c r="K269" s="628">
        <v>65</v>
      </c>
      <c r="L269" s="628">
        <v>50.5</v>
      </c>
      <c r="M269" s="640">
        <v>50.5</v>
      </c>
    </row>
    <row r="270" spans="1:13" ht="15" customHeight="1">
      <c r="A270" s="641">
        <v>11210</v>
      </c>
      <c r="B270" s="629" t="s">
        <v>221</v>
      </c>
      <c r="C270" s="629" t="s">
        <v>231</v>
      </c>
      <c r="D270" s="629" t="s">
        <v>39</v>
      </c>
      <c r="E270" s="630">
        <v>1</v>
      </c>
      <c r="F270" s="630" t="s">
        <v>132</v>
      </c>
      <c r="G270" s="630">
        <v>67</v>
      </c>
      <c r="H270" s="630">
        <v>15</v>
      </c>
      <c r="I270" s="630">
        <v>44</v>
      </c>
      <c r="J270" s="630">
        <v>1</v>
      </c>
      <c r="K270" s="630">
        <v>127</v>
      </c>
      <c r="L270" s="630">
        <v>111.5</v>
      </c>
      <c r="M270" s="642">
        <v>111.5</v>
      </c>
    </row>
    <row r="271" spans="1:13" ht="15" customHeight="1">
      <c r="A271" s="639">
        <v>11210</v>
      </c>
      <c r="B271" s="627" t="s">
        <v>221</v>
      </c>
      <c r="C271" s="627" t="s">
        <v>231</v>
      </c>
      <c r="D271" s="627" t="s">
        <v>39</v>
      </c>
      <c r="E271" s="628">
        <v>1</v>
      </c>
      <c r="F271" s="628" t="s">
        <v>109</v>
      </c>
      <c r="G271" s="628">
        <v>0</v>
      </c>
      <c r="H271" s="628">
        <v>78</v>
      </c>
      <c r="I271" s="628">
        <v>201</v>
      </c>
      <c r="J271" s="628">
        <v>7</v>
      </c>
      <c r="K271" s="628">
        <v>286</v>
      </c>
      <c r="L271" s="628">
        <v>204.5</v>
      </c>
      <c r="M271" s="640">
        <v>204.5</v>
      </c>
    </row>
    <row r="272" spans="1:13" ht="15" customHeight="1">
      <c r="A272" s="641">
        <v>11210</v>
      </c>
      <c r="B272" s="629" t="s">
        <v>221</v>
      </c>
      <c r="C272" s="629" t="s">
        <v>232</v>
      </c>
      <c r="D272" s="629" t="s">
        <v>233</v>
      </c>
      <c r="E272" s="630">
        <v>1</v>
      </c>
      <c r="F272" s="630" t="s">
        <v>132</v>
      </c>
      <c r="G272" s="630">
        <v>29</v>
      </c>
      <c r="H272" s="630">
        <v>5</v>
      </c>
      <c r="I272" s="630">
        <v>14</v>
      </c>
      <c r="J272" s="630">
        <v>0</v>
      </c>
      <c r="K272" s="630">
        <v>48</v>
      </c>
      <c r="L272" s="630">
        <v>43</v>
      </c>
      <c r="M272" s="642">
        <v>43</v>
      </c>
    </row>
    <row r="273" spans="1:13" ht="15" customHeight="1">
      <c r="A273" s="639">
        <v>11210</v>
      </c>
      <c r="B273" s="627" t="s">
        <v>221</v>
      </c>
      <c r="C273" s="627" t="s">
        <v>232</v>
      </c>
      <c r="D273" s="627" t="s">
        <v>233</v>
      </c>
      <c r="E273" s="628">
        <v>1</v>
      </c>
      <c r="F273" s="628" t="s">
        <v>109</v>
      </c>
      <c r="G273" s="628">
        <v>0</v>
      </c>
      <c r="H273" s="628">
        <v>24</v>
      </c>
      <c r="I273" s="628">
        <v>113</v>
      </c>
      <c r="J273" s="628">
        <v>4</v>
      </c>
      <c r="K273" s="628">
        <v>141</v>
      </c>
      <c r="L273" s="628">
        <v>115</v>
      </c>
      <c r="M273" s="640">
        <v>115</v>
      </c>
    </row>
    <row r="274" spans="1:13" ht="15" customHeight="1">
      <c r="A274" s="641">
        <v>11210</v>
      </c>
      <c r="B274" s="629" t="s">
        <v>221</v>
      </c>
      <c r="C274" s="629" t="s">
        <v>234</v>
      </c>
      <c r="D274" s="629" t="s">
        <v>41</v>
      </c>
      <c r="E274" s="630">
        <v>1.2</v>
      </c>
      <c r="F274" s="630" t="s">
        <v>132</v>
      </c>
      <c r="G274" s="630">
        <v>184</v>
      </c>
      <c r="H274" s="630">
        <v>16</v>
      </c>
      <c r="I274" s="630">
        <v>120</v>
      </c>
      <c r="J274" s="630">
        <v>2</v>
      </c>
      <c r="K274" s="630">
        <v>322</v>
      </c>
      <c r="L274" s="630">
        <v>305</v>
      </c>
      <c r="M274" s="642">
        <v>366</v>
      </c>
    </row>
    <row r="275" spans="1:13" ht="15" customHeight="1">
      <c r="A275" s="639">
        <v>11210</v>
      </c>
      <c r="B275" s="627" t="s">
        <v>221</v>
      </c>
      <c r="C275" s="627" t="s">
        <v>234</v>
      </c>
      <c r="D275" s="627" t="s">
        <v>41</v>
      </c>
      <c r="E275" s="628">
        <v>1.2</v>
      </c>
      <c r="F275" s="628" t="s">
        <v>109</v>
      </c>
      <c r="G275" s="628">
        <v>0</v>
      </c>
      <c r="H275" s="628">
        <v>114</v>
      </c>
      <c r="I275" s="628">
        <v>471</v>
      </c>
      <c r="J275" s="628">
        <v>13</v>
      </c>
      <c r="K275" s="628">
        <v>598</v>
      </c>
      <c r="L275" s="628">
        <v>477.5</v>
      </c>
      <c r="M275" s="640">
        <v>573</v>
      </c>
    </row>
    <row r="276" spans="1:13" ht="15" customHeight="1">
      <c r="A276" s="641">
        <v>11210</v>
      </c>
      <c r="B276" s="629" t="s">
        <v>221</v>
      </c>
      <c r="C276" s="629" t="s">
        <v>235</v>
      </c>
      <c r="D276" s="629" t="s">
        <v>236</v>
      </c>
      <c r="E276" s="630">
        <v>1.2</v>
      </c>
      <c r="F276" s="630" t="s">
        <v>132</v>
      </c>
      <c r="G276" s="630">
        <v>20</v>
      </c>
      <c r="H276" s="630">
        <v>4</v>
      </c>
      <c r="I276" s="630">
        <v>24</v>
      </c>
      <c r="J276" s="630">
        <v>0</v>
      </c>
      <c r="K276" s="630">
        <v>48</v>
      </c>
      <c r="L276" s="630">
        <v>44</v>
      </c>
      <c r="M276" s="642">
        <v>52.8</v>
      </c>
    </row>
    <row r="277" spans="1:13" ht="15" customHeight="1">
      <c r="A277" s="639">
        <v>11210</v>
      </c>
      <c r="B277" s="627" t="s">
        <v>221</v>
      </c>
      <c r="C277" s="627" t="s">
        <v>235</v>
      </c>
      <c r="D277" s="627" t="s">
        <v>236</v>
      </c>
      <c r="E277" s="628">
        <v>1.2</v>
      </c>
      <c r="F277" s="628" t="s">
        <v>109</v>
      </c>
      <c r="G277" s="628">
        <v>0</v>
      </c>
      <c r="H277" s="628">
        <v>16</v>
      </c>
      <c r="I277" s="628">
        <v>102</v>
      </c>
      <c r="J277" s="628">
        <v>2</v>
      </c>
      <c r="K277" s="628">
        <v>120</v>
      </c>
      <c r="L277" s="628">
        <v>103</v>
      </c>
      <c r="M277" s="640">
        <v>123.6</v>
      </c>
    </row>
    <row r="278" spans="1:13" ht="15" customHeight="1">
      <c r="A278" s="641">
        <v>11210</v>
      </c>
      <c r="B278" s="629" t="s">
        <v>221</v>
      </c>
      <c r="C278" s="629" t="s">
        <v>237</v>
      </c>
      <c r="D278" s="629" t="s">
        <v>238</v>
      </c>
      <c r="E278" s="630">
        <v>1.2</v>
      </c>
      <c r="F278" s="630" t="s">
        <v>132</v>
      </c>
      <c r="G278" s="630">
        <v>15</v>
      </c>
      <c r="H278" s="630">
        <v>0</v>
      </c>
      <c r="I278" s="630">
        <v>2</v>
      </c>
      <c r="J278" s="630">
        <v>0</v>
      </c>
      <c r="K278" s="630">
        <v>17</v>
      </c>
      <c r="L278" s="630">
        <v>17</v>
      </c>
      <c r="M278" s="642">
        <v>20.4</v>
      </c>
    </row>
    <row r="279" spans="1:13" ht="15" customHeight="1">
      <c r="A279" s="639">
        <v>11210</v>
      </c>
      <c r="B279" s="627" t="s">
        <v>221</v>
      </c>
      <c r="C279" s="627" t="s">
        <v>237</v>
      </c>
      <c r="D279" s="627" t="s">
        <v>238</v>
      </c>
      <c r="E279" s="628">
        <v>1.2</v>
      </c>
      <c r="F279" s="628" t="s">
        <v>109</v>
      </c>
      <c r="G279" s="628">
        <v>0</v>
      </c>
      <c r="H279" s="628">
        <v>10</v>
      </c>
      <c r="I279" s="628">
        <v>29</v>
      </c>
      <c r="J279" s="628">
        <v>1</v>
      </c>
      <c r="K279" s="628">
        <v>40</v>
      </c>
      <c r="L279" s="628">
        <v>29.5</v>
      </c>
      <c r="M279" s="640">
        <v>35.4</v>
      </c>
    </row>
    <row r="280" spans="1:13" ht="15" customHeight="1">
      <c r="A280" s="641">
        <v>11210</v>
      </c>
      <c r="B280" s="629" t="s">
        <v>221</v>
      </c>
      <c r="C280" s="629" t="s">
        <v>239</v>
      </c>
      <c r="D280" s="629" t="s">
        <v>240</v>
      </c>
      <c r="E280" s="630">
        <v>1.2</v>
      </c>
      <c r="F280" s="630" t="s">
        <v>132</v>
      </c>
      <c r="G280" s="630">
        <v>15</v>
      </c>
      <c r="H280" s="630">
        <v>0</v>
      </c>
      <c r="I280" s="630">
        <v>12</v>
      </c>
      <c r="J280" s="630">
        <v>0</v>
      </c>
      <c r="K280" s="630">
        <v>27</v>
      </c>
      <c r="L280" s="630">
        <v>27</v>
      </c>
      <c r="M280" s="642">
        <v>32.4</v>
      </c>
    </row>
    <row r="281" spans="1:13" ht="15" customHeight="1">
      <c r="A281" s="639">
        <v>11210</v>
      </c>
      <c r="B281" s="627" t="s">
        <v>221</v>
      </c>
      <c r="C281" s="627" t="s">
        <v>239</v>
      </c>
      <c r="D281" s="627" t="s">
        <v>240</v>
      </c>
      <c r="E281" s="628">
        <v>1.2</v>
      </c>
      <c r="F281" s="628" t="s">
        <v>109</v>
      </c>
      <c r="G281" s="628">
        <v>0</v>
      </c>
      <c r="H281" s="628">
        <v>10</v>
      </c>
      <c r="I281" s="628">
        <v>51</v>
      </c>
      <c r="J281" s="628">
        <v>0</v>
      </c>
      <c r="K281" s="628">
        <v>61</v>
      </c>
      <c r="L281" s="628">
        <v>51</v>
      </c>
      <c r="M281" s="640">
        <v>61.2</v>
      </c>
    </row>
    <row r="282" spans="1:13" ht="15" customHeight="1">
      <c r="A282" s="641">
        <v>11210</v>
      </c>
      <c r="B282" s="629" t="s">
        <v>221</v>
      </c>
      <c r="C282" s="629" t="s">
        <v>241</v>
      </c>
      <c r="D282" s="629" t="s">
        <v>93</v>
      </c>
      <c r="E282" s="630">
        <v>1</v>
      </c>
      <c r="F282" s="630" t="s">
        <v>132</v>
      </c>
      <c r="G282" s="630">
        <v>30</v>
      </c>
      <c r="H282" s="630">
        <v>7</v>
      </c>
      <c r="I282" s="630">
        <v>32</v>
      </c>
      <c r="J282" s="630">
        <v>0</v>
      </c>
      <c r="K282" s="630">
        <v>69</v>
      </c>
      <c r="L282" s="630">
        <v>62</v>
      </c>
      <c r="M282" s="642">
        <v>62</v>
      </c>
    </row>
    <row r="283" spans="1:13" ht="15" customHeight="1">
      <c r="A283" s="639">
        <v>11210</v>
      </c>
      <c r="B283" s="627" t="s">
        <v>221</v>
      </c>
      <c r="C283" s="627" t="s">
        <v>241</v>
      </c>
      <c r="D283" s="627" t="s">
        <v>93</v>
      </c>
      <c r="E283" s="628">
        <v>1</v>
      </c>
      <c r="F283" s="628" t="s">
        <v>109</v>
      </c>
      <c r="G283" s="628">
        <v>0</v>
      </c>
      <c r="H283" s="628">
        <v>30</v>
      </c>
      <c r="I283" s="628">
        <v>95</v>
      </c>
      <c r="J283" s="628">
        <v>2</v>
      </c>
      <c r="K283" s="628">
        <v>127</v>
      </c>
      <c r="L283" s="628">
        <v>96</v>
      </c>
      <c r="M283" s="640">
        <v>96</v>
      </c>
    </row>
    <row r="284" spans="1:13" ht="15" customHeight="1">
      <c r="A284" s="641">
        <v>11210</v>
      </c>
      <c r="B284" s="629" t="s">
        <v>221</v>
      </c>
      <c r="C284" s="629" t="s">
        <v>242</v>
      </c>
      <c r="D284" s="629" t="s">
        <v>20</v>
      </c>
      <c r="E284" s="630">
        <v>1</v>
      </c>
      <c r="F284" s="630" t="s">
        <v>132</v>
      </c>
      <c r="G284" s="630">
        <v>30</v>
      </c>
      <c r="H284" s="630">
        <v>2</v>
      </c>
      <c r="I284" s="630">
        <v>34</v>
      </c>
      <c r="J284" s="630">
        <v>0</v>
      </c>
      <c r="K284" s="630">
        <v>66</v>
      </c>
      <c r="L284" s="630">
        <v>64</v>
      </c>
      <c r="M284" s="642">
        <v>64</v>
      </c>
    </row>
    <row r="285" spans="1:13" ht="15" customHeight="1">
      <c r="A285" s="639">
        <v>11210</v>
      </c>
      <c r="B285" s="627" t="s">
        <v>221</v>
      </c>
      <c r="C285" s="627" t="s">
        <v>242</v>
      </c>
      <c r="D285" s="627" t="s">
        <v>20</v>
      </c>
      <c r="E285" s="628">
        <v>1</v>
      </c>
      <c r="F285" s="628" t="s">
        <v>109</v>
      </c>
      <c r="G285" s="628">
        <v>0</v>
      </c>
      <c r="H285" s="628">
        <v>13</v>
      </c>
      <c r="I285" s="628">
        <v>122</v>
      </c>
      <c r="J285" s="628">
        <v>2</v>
      </c>
      <c r="K285" s="628">
        <v>137</v>
      </c>
      <c r="L285" s="628">
        <v>123</v>
      </c>
      <c r="M285" s="640">
        <v>123</v>
      </c>
    </row>
    <row r="286" spans="1:13" ht="15" customHeight="1">
      <c r="A286" s="641">
        <v>11210</v>
      </c>
      <c r="B286" s="629" t="s">
        <v>221</v>
      </c>
      <c r="C286" s="629" t="s">
        <v>243</v>
      </c>
      <c r="D286" s="629" t="s">
        <v>244</v>
      </c>
      <c r="E286" s="630">
        <v>1</v>
      </c>
      <c r="F286" s="630" t="s">
        <v>132</v>
      </c>
      <c r="G286" s="630">
        <v>48</v>
      </c>
      <c r="H286" s="630">
        <v>3</v>
      </c>
      <c r="I286" s="630">
        <v>33</v>
      </c>
      <c r="J286" s="630">
        <v>0</v>
      </c>
      <c r="K286" s="630">
        <v>84</v>
      </c>
      <c r="L286" s="630">
        <v>81</v>
      </c>
      <c r="M286" s="642">
        <v>81</v>
      </c>
    </row>
    <row r="287" spans="1:13" ht="15" customHeight="1">
      <c r="A287" s="639">
        <v>11210</v>
      </c>
      <c r="B287" s="627" t="s">
        <v>221</v>
      </c>
      <c r="C287" s="627" t="s">
        <v>243</v>
      </c>
      <c r="D287" s="627" t="s">
        <v>244</v>
      </c>
      <c r="E287" s="628">
        <v>1</v>
      </c>
      <c r="F287" s="628" t="s">
        <v>109</v>
      </c>
      <c r="G287" s="628">
        <v>0</v>
      </c>
      <c r="H287" s="628">
        <v>47</v>
      </c>
      <c r="I287" s="628">
        <v>148</v>
      </c>
      <c r="J287" s="628">
        <v>3</v>
      </c>
      <c r="K287" s="628">
        <v>198</v>
      </c>
      <c r="L287" s="628">
        <v>149.5</v>
      </c>
      <c r="M287" s="640">
        <v>149.5</v>
      </c>
    </row>
    <row r="288" spans="1:13" ht="15" customHeight="1">
      <c r="A288" s="641">
        <v>11210</v>
      </c>
      <c r="B288" s="629" t="s">
        <v>221</v>
      </c>
      <c r="C288" s="629" t="s">
        <v>245</v>
      </c>
      <c r="D288" s="629" t="s">
        <v>20</v>
      </c>
      <c r="E288" s="630">
        <v>1</v>
      </c>
      <c r="F288" s="630" t="s">
        <v>113</v>
      </c>
      <c r="G288" s="630">
        <v>0</v>
      </c>
      <c r="H288" s="630">
        <v>3</v>
      </c>
      <c r="I288" s="630">
        <v>0</v>
      </c>
      <c r="J288" s="630">
        <v>0</v>
      </c>
      <c r="K288" s="630">
        <v>3</v>
      </c>
      <c r="L288" s="630">
        <v>0</v>
      </c>
      <c r="M288" s="642">
        <v>0</v>
      </c>
    </row>
    <row r="289" spans="1:13" ht="15" customHeight="1">
      <c r="A289" s="639">
        <v>11210</v>
      </c>
      <c r="B289" s="627" t="s">
        <v>221</v>
      </c>
      <c r="C289" s="627" t="s">
        <v>61</v>
      </c>
      <c r="D289" s="627" t="s">
        <v>62</v>
      </c>
      <c r="E289" s="628">
        <v>1</v>
      </c>
      <c r="F289" s="628" t="s">
        <v>116</v>
      </c>
      <c r="G289" s="628">
        <v>0</v>
      </c>
      <c r="H289" s="628">
        <v>2</v>
      </c>
      <c r="I289" s="628">
        <v>14</v>
      </c>
      <c r="J289" s="628">
        <v>0</v>
      </c>
      <c r="K289" s="628">
        <v>16</v>
      </c>
      <c r="L289" s="628">
        <v>14</v>
      </c>
      <c r="M289" s="640">
        <v>14</v>
      </c>
    </row>
    <row r="290" spans="1:13" ht="15" customHeight="1">
      <c r="A290" s="641">
        <v>11210</v>
      </c>
      <c r="B290" s="629" t="s">
        <v>221</v>
      </c>
      <c r="C290" s="629" t="s">
        <v>61</v>
      </c>
      <c r="D290" s="629" t="s">
        <v>62</v>
      </c>
      <c r="E290" s="630">
        <v>1</v>
      </c>
      <c r="F290" s="630" t="s">
        <v>114</v>
      </c>
      <c r="G290" s="630">
        <v>0</v>
      </c>
      <c r="H290" s="630">
        <v>6</v>
      </c>
      <c r="I290" s="630">
        <v>18</v>
      </c>
      <c r="J290" s="630">
        <v>0</v>
      </c>
      <c r="K290" s="630">
        <v>24</v>
      </c>
      <c r="L290" s="630">
        <v>18</v>
      </c>
      <c r="M290" s="642">
        <v>18</v>
      </c>
    </row>
    <row r="291" spans="1:13" ht="15" customHeight="1">
      <c r="A291" s="639">
        <v>11210</v>
      </c>
      <c r="B291" s="627" t="s">
        <v>221</v>
      </c>
      <c r="C291" s="627" t="s">
        <v>246</v>
      </c>
      <c r="D291" s="627" t="s">
        <v>224</v>
      </c>
      <c r="E291" s="628">
        <v>1</v>
      </c>
      <c r="F291" s="628" t="s">
        <v>114</v>
      </c>
      <c r="G291" s="628">
        <v>0</v>
      </c>
      <c r="H291" s="628">
        <v>0</v>
      </c>
      <c r="I291" s="628">
        <v>1</v>
      </c>
      <c r="J291" s="628">
        <v>0</v>
      </c>
      <c r="K291" s="628">
        <v>1</v>
      </c>
      <c r="L291" s="628">
        <v>1</v>
      </c>
      <c r="M291" s="640">
        <v>1</v>
      </c>
    </row>
    <row r="292" spans="1:13" ht="15" customHeight="1">
      <c r="A292" s="641">
        <v>11210</v>
      </c>
      <c r="B292" s="629" t="s">
        <v>221</v>
      </c>
      <c r="C292" s="629" t="s">
        <v>247</v>
      </c>
      <c r="D292" s="629" t="s">
        <v>226</v>
      </c>
      <c r="E292" s="630">
        <v>1</v>
      </c>
      <c r="F292" s="630" t="s">
        <v>116</v>
      </c>
      <c r="G292" s="630">
        <v>0</v>
      </c>
      <c r="H292" s="630">
        <v>0</v>
      </c>
      <c r="I292" s="630">
        <v>12</v>
      </c>
      <c r="J292" s="630">
        <v>0</v>
      </c>
      <c r="K292" s="630">
        <v>12</v>
      </c>
      <c r="L292" s="630">
        <v>12</v>
      </c>
      <c r="M292" s="642">
        <v>12</v>
      </c>
    </row>
    <row r="293" spans="1:13" ht="15" customHeight="1">
      <c r="A293" s="639">
        <v>11210</v>
      </c>
      <c r="B293" s="627" t="s">
        <v>221</v>
      </c>
      <c r="C293" s="627" t="s">
        <v>247</v>
      </c>
      <c r="D293" s="627" t="s">
        <v>226</v>
      </c>
      <c r="E293" s="628">
        <v>1</v>
      </c>
      <c r="F293" s="628" t="s">
        <v>114</v>
      </c>
      <c r="G293" s="628">
        <v>0</v>
      </c>
      <c r="H293" s="628">
        <v>5</v>
      </c>
      <c r="I293" s="628">
        <v>35</v>
      </c>
      <c r="J293" s="628">
        <v>0</v>
      </c>
      <c r="K293" s="628">
        <v>40</v>
      </c>
      <c r="L293" s="628">
        <v>35</v>
      </c>
      <c r="M293" s="640">
        <v>35</v>
      </c>
    </row>
    <row r="294" spans="1:13" ht="15" customHeight="1">
      <c r="A294" s="641">
        <v>11210</v>
      </c>
      <c r="B294" s="629" t="s">
        <v>221</v>
      </c>
      <c r="C294" s="629" t="s">
        <v>49</v>
      </c>
      <c r="D294" s="629" t="s">
        <v>50</v>
      </c>
      <c r="E294" s="630">
        <v>1</v>
      </c>
      <c r="F294" s="630" t="s">
        <v>116</v>
      </c>
      <c r="G294" s="630">
        <v>0</v>
      </c>
      <c r="H294" s="630">
        <v>0</v>
      </c>
      <c r="I294" s="630">
        <v>16</v>
      </c>
      <c r="J294" s="630">
        <v>0</v>
      </c>
      <c r="K294" s="630">
        <v>16</v>
      </c>
      <c r="L294" s="630">
        <v>16</v>
      </c>
      <c r="M294" s="642">
        <v>16</v>
      </c>
    </row>
    <row r="295" spans="1:13" ht="15" customHeight="1">
      <c r="A295" s="639">
        <v>11210</v>
      </c>
      <c r="B295" s="627" t="s">
        <v>221</v>
      </c>
      <c r="C295" s="627" t="s">
        <v>49</v>
      </c>
      <c r="D295" s="627" t="s">
        <v>50</v>
      </c>
      <c r="E295" s="628">
        <v>1</v>
      </c>
      <c r="F295" s="628" t="s">
        <v>114</v>
      </c>
      <c r="G295" s="628">
        <v>0</v>
      </c>
      <c r="H295" s="628">
        <v>4</v>
      </c>
      <c r="I295" s="628">
        <v>18</v>
      </c>
      <c r="J295" s="628">
        <v>0</v>
      </c>
      <c r="K295" s="628">
        <v>22</v>
      </c>
      <c r="L295" s="628">
        <v>18</v>
      </c>
      <c r="M295" s="640">
        <v>18</v>
      </c>
    </row>
    <row r="296" spans="1:13" ht="15" customHeight="1">
      <c r="A296" s="641">
        <v>11210</v>
      </c>
      <c r="B296" s="629" t="s">
        <v>221</v>
      </c>
      <c r="C296" s="629" t="s">
        <v>53</v>
      </c>
      <c r="D296" s="629" t="s">
        <v>54</v>
      </c>
      <c r="E296" s="630">
        <v>1</v>
      </c>
      <c r="F296" s="630" t="s">
        <v>116</v>
      </c>
      <c r="G296" s="630">
        <v>0</v>
      </c>
      <c r="H296" s="630">
        <v>1</v>
      </c>
      <c r="I296" s="630">
        <v>11</v>
      </c>
      <c r="J296" s="630">
        <v>0</v>
      </c>
      <c r="K296" s="630">
        <v>12</v>
      </c>
      <c r="L296" s="630">
        <v>11</v>
      </c>
      <c r="M296" s="642">
        <v>11</v>
      </c>
    </row>
    <row r="297" spans="1:13" ht="15" customHeight="1">
      <c r="A297" s="639">
        <v>11210</v>
      </c>
      <c r="B297" s="627" t="s">
        <v>221</v>
      </c>
      <c r="C297" s="627" t="s">
        <v>53</v>
      </c>
      <c r="D297" s="627" t="s">
        <v>54</v>
      </c>
      <c r="E297" s="628">
        <v>1</v>
      </c>
      <c r="F297" s="628" t="s">
        <v>114</v>
      </c>
      <c r="G297" s="628">
        <v>0</v>
      </c>
      <c r="H297" s="628">
        <v>4</v>
      </c>
      <c r="I297" s="628">
        <v>17</v>
      </c>
      <c r="J297" s="628">
        <v>0</v>
      </c>
      <c r="K297" s="628">
        <v>21</v>
      </c>
      <c r="L297" s="628">
        <v>17</v>
      </c>
      <c r="M297" s="640">
        <v>17</v>
      </c>
    </row>
    <row r="298" spans="1:13" ht="15" customHeight="1">
      <c r="A298" s="641">
        <v>11210</v>
      </c>
      <c r="B298" s="629" t="s">
        <v>221</v>
      </c>
      <c r="C298" s="629" t="s">
        <v>248</v>
      </c>
      <c r="D298" s="629" t="s">
        <v>230</v>
      </c>
      <c r="E298" s="630">
        <v>1</v>
      </c>
      <c r="F298" s="630" t="s">
        <v>116</v>
      </c>
      <c r="G298" s="630">
        <v>0</v>
      </c>
      <c r="H298" s="630">
        <v>1</v>
      </c>
      <c r="I298" s="630">
        <v>30</v>
      </c>
      <c r="J298" s="630">
        <v>0</v>
      </c>
      <c r="K298" s="630">
        <v>31</v>
      </c>
      <c r="L298" s="630">
        <v>30</v>
      </c>
      <c r="M298" s="642">
        <v>30</v>
      </c>
    </row>
    <row r="299" spans="1:13" ht="15" customHeight="1">
      <c r="A299" s="639">
        <v>11210</v>
      </c>
      <c r="B299" s="627" t="s">
        <v>221</v>
      </c>
      <c r="C299" s="627" t="s">
        <v>248</v>
      </c>
      <c r="D299" s="627" t="s">
        <v>230</v>
      </c>
      <c r="E299" s="628">
        <v>1</v>
      </c>
      <c r="F299" s="628" t="s">
        <v>114</v>
      </c>
      <c r="G299" s="628">
        <v>0</v>
      </c>
      <c r="H299" s="628">
        <v>5</v>
      </c>
      <c r="I299" s="628">
        <v>41</v>
      </c>
      <c r="J299" s="628">
        <v>0</v>
      </c>
      <c r="K299" s="628">
        <v>46</v>
      </c>
      <c r="L299" s="628">
        <v>41</v>
      </c>
      <c r="M299" s="640">
        <v>41</v>
      </c>
    </row>
    <row r="300" spans="1:13" ht="15" customHeight="1">
      <c r="A300" s="641">
        <v>11210</v>
      </c>
      <c r="B300" s="629" t="s">
        <v>221</v>
      </c>
      <c r="C300" s="629" t="s">
        <v>38</v>
      </c>
      <c r="D300" s="629" t="s">
        <v>39</v>
      </c>
      <c r="E300" s="630">
        <v>1</v>
      </c>
      <c r="F300" s="630" t="s">
        <v>116</v>
      </c>
      <c r="G300" s="630">
        <v>0</v>
      </c>
      <c r="H300" s="630">
        <v>9</v>
      </c>
      <c r="I300" s="630">
        <v>91</v>
      </c>
      <c r="J300" s="630">
        <v>1</v>
      </c>
      <c r="K300" s="630">
        <v>101</v>
      </c>
      <c r="L300" s="630">
        <v>91.5</v>
      </c>
      <c r="M300" s="642">
        <v>91.5</v>
      </c>
    </row>
    <row r="301" spans="1:13" ht="15" customHeight="1">
      <c r="A301" s="639">
        <v>11210</v>
      </c>
      <c r="B301" s="627" t="s">
        <v>221</v>
      </c>
      <c r="C301" s="627" t="s">
        <v>38</v>
      </c>
      <c r="D301" s="627" t="s">
        <v>39</v>
      </c>
      <c r="E301" s="628">
        <v>1</v>
      </c>
      <c r="F301" s="628" t="s">
        <v>114</v>
      </c>
      <c r="G301" s="628">
        <v>0</v>
      </c>
      <c r="H301" s="628">
        <v>49</v>
      </c>
      <c r="I301" s="628">
        <v>118</v>
      </c>
      <c r="J301" s="628">
        <v>2</v>
      </c>
      <c r="K301" s="628">
        <v>169</v>
      </c>
      <c r="L301" s="628">
        <v>119</v>
      </c>
      <c r="M301" s="640">
        <v>119</v>
      </c>
    </row>
    <row r="302" spans="1:13" ht="15" customHeight="1">
      <c r="A302" s="641">
        <v>11210</v>
      </c>
      <c r="B302" s="629" t="s">
        <v>221</v>
      </c>
      <c r="C302" s="629" t="s">
        <v>249</v>
      </c>
      <c r="D302" s="629" t="s">
        <v>233</v>
      </c>
      <c r="E302" s="630">
        <v>1</v>
      </c>
      <c r="F302" s="630" t="s">
        <v>116</v>
      </c>
      <c r="G302" s="630">
        <v>0</v>
      </c>
      <c r="H302" s="630">
        <v>1</v>
      </c>
      <c r="I302" s="630">
        <v>45</v>
      </c>
      <c r="J302" s="630">
        <v>0</v>
      </c>
      <c r="K302" s="630">
        <v>46</v>
      </c>
      <c r="L302" s="630">
        <v>45</v>
      </c>
      <c r="M302" s="642">
        <v>45</v>
      </c>
    </row>
    <row r="303" spans="1:13" ht="15" customHeight="1">
      <c r="A303" s="639">
        <v>11210</v>
      </c>
      <c r="B303" s="627" t="s">
        <v>221</v>
      </c>
      <c r="C303" s="627" t="s">
        <v>249</v>
      </c>
      <c r="D303" s="627" t="s">
        <v>233</v>
      </c>
      <c r="E303" s="628">
        <v>1</v>
      </c>
      <c r="F303" s="628" t="s">
        <v>114</v>
      </c>
      <c r="G303" s="628">
        <v>0</v>
      </c>
      <c r="H303" s="628">
        <v>23</v>
      </c>
      <c r="I303" s="628">
        <v>74</v>
      </c>
      <c r="J303" s="628">
        <v>2</v>
      </c>
      <c r="K303" s="628">
        <v>99</v>
      </c>
      <c r="L303" s="628">
        <v>75</v>
      </c>
      <c r="M303" s="640">
        <v>75</v>
      </c>
    </row>
    <row r="304" spans="1:13" ht="15" customHeight="1">
      <c r="A304" s="641">
        <v>11210</v>
      </c>
      <c r="B304" s="629" t="s">
        <v>221</v>
      </c>
      <c r="C304" s="629" t="s">
        <v>40</v>
      </c>
      <c r="D304" s="629" t="s">
        <v>41</v>
      </c>
      <c r="E304" s="630">
        <v>1.2</v>
      </c>
      <c r="F304" s="630" t="s">
        <v>116</v>
      </c>
      <c r="G304" s="630">
        <v>0</v>
      </c>
      <c r="H304" s="630">
        <v>3</v>
      </c>
      <c r="I304" s="630">
        <v>162</v>
      </c>
      <c r="J304" s="630">
        <v>0</v>
      </c>
      <c r="K304" s="630">
        <v>165</v>
      </c>
      <c r="L304" s="630">
        <v>162</v>
      </c>
      <c r="M304" s="642">
        <v>194.4</v>
      </c>
    </row>
    <row r="305" spans="1:13" ht="15" customHeight="1">
      <c r="A305" s="639">
        <v>11210</v>
      </c>
      <c r="B305" s="627" t="s">
        <v>221</v>
      </c>
      <c r="C305" s="627" t="s">
        <v>40</v>
      </c>
      <c r="D305" s="627" t="s">
        <v>41</v>
      </c>
      <c r="E305" s="628">
        <v>1.2</v>
      </c>
      <c r="F305" s="628" t="s">
        <v>114</v>
      </c>
      <c r="G305" s="628">
        <v>0</v>
      </c>
      <c r="H305" s="628">
        <v>53</v>
      </c>
      <c r="I305" s="628">
        <v>247</v>
      </c>
      <c r="J305" s="628">
        <v>3</v>
      </c>
      <c r="K305" s="628">
        <v>303</v>
      </c>
      <c r="L305" s="628">
        <v>248.5</v>
      </c>
      <c r="M305" s="640">
        <v>298.2</v>
      </c>
    </row>
    <row r="306" spans="1:13" ht="15" customHeight="1">
      <c r="A306" s="641">
        <v>11210</v>
      </c>
      <c r="B306" s="629" t="s">
        <v>221</v>
      </c>
      <c r="C306" s="629" t="s">
        <v>250</v>
      </c>
      <c r="D306" s="629" t="s">
        <v>238</v>
      </c>
      <c r="E306" s="630">
        <v>1.2</v>
      </c>
      <c r="F306" s="630" t="s">
        <v>116</v>
      </c>
      <c r="G306" s="630">
        <v>0</v>
      </c>
      <c r="H306" s="630">
        <v>1</v>
      </c>
      <c r="I306" s="630">
        <v>3</v>
      </c>
      <c r="J306" s="630">
        <v>0</v>
      </c>
      <c r="K306" s="630">
        <v>4</v>
      </c>
      <c r="L306" s="630">
        <v>3</v>
      </c>
      <c r="M306" s="642">
        <v>3.6</v>
      </c>
    </row>
    <row r="307" spans="1:13" ht="15" customHeight="1">
      <c r="A307" s="639">
        <v>11210</v>
      </c>
      <c r="B307" s="627" t="s">
        <v>221</v>
      </c>
      <c r="C307" s="627" t="s">
        <v>250</v>
      </c>
      <c r="D307" s="627" t="s">
        <v>238</v>
      </c>
      <c r="E307" s="628">
        <v>1.2</v>
      </c>
      <c r="F307" s="628" t="s">
        <v>114</v>
      </c>
      <c r="G307" s="628">
        <v>0</v>
      </c>
      <c r="H307" s="628">
        <v>0</v>
      </c>
      <c r="I307" s="628">
        <v>2</v>
      </c>
      <c r="J307" s="628">
        <v>0</v>
      </c>
      <c r="K307" s="628">
        <v>2</v>
      </c>
      <c r="L307" s="628">
        <v>2</v>
      </c>
      <c r="M307" s="640">
        <v>2.4</v>
      </c>
    </row>
    <row r="308" spans="1:13" ht="15" customHeight="1">
      <c r="A308" s="641">
        <v>11210</v>
      </c>
      <c r="B308" s="629" t="s">
        <v>221</v>
      </c>
      <c r="C308" s="629" t="s">
        <v>251</v>
      </c>
      <c r="D308" s="629" t="s">
        <v>240</v>
      </c>
      <c r="E308" s="630">
        <v>1.2</v>
      </c>
      <c r="F308" s="630" t="s">
        <v>116</v>
      </c>
      <c r="G308" s="630">
        <v>0</v>
      </c>
      <c r="H308" s="630">
        <v>0</v>
      </c>
      <c r="I308" s="630">
        <v>15</v>
      </c>
      <c r="J308" s="630">
        <v>0</v>
      </c>
      <c r="K308" s="630">
        <v>15</v>
      </c>
      <c r="L308" s="630">
        <v>15</v>
      </c>
      <c r="M308" s="642">
        <v>18</v>
      </c>
    </row>
    <row r="309" spans="1:13" ht="15" customHeight="1">
      <c r="A309" s="639">
        <v>11210</v>
      </c>
      <c r="B309" s="627" t="s">
        <v>221</v>
      </c>
      <c r="C309" s="627" t="s">
        <v>251</v>
      </c>
      <c r="D309" s="627" t="s">
        <v>240</v>
      </c>
      <c r="E309" s="628">
        <v>1.2</v>
      </c>
      <c r="F309" s="628" t="s">
        <v>114</v>
      </c>
      <c r="G309" s="628">
        <v>0</v>
      </c>
      <c r="H309" s="628">
        <v>3</v>
      </c>
      <c r="I309" s="628">
        <v>43</v>
      </c>
      <c r="J309" s="628">
        <v>0</v>
      </c>
      <c r="K309" s="628">
        <v>46</v>
      </c>
      <c r="L309" s="628">
        <v>43</v>
      </c>
      <c r="M309" s="640">
        <v>51.6</v>
      </c>
    </row>
    <row r="310" spans="1:13" ht="15" customHeight="1">
      <c r="A310" s="641">
        <v>11210</v>
      </c>
      <c r="B310" s="629" t="s">
        <v>221</v>
      </c>
      <c r="C310" s="629" t="s">
        <v>115</v>
      </c>
      <c r="D310" s="629" t="s">
        <v>93</v>
      </c>
      <c r="E310" s="630">
        <v>1</v>
      </c>
      <c r="F310" s="630" t="s">
        <v>116</v>
      </c>
      <c r="G310" s="630">
        <v>0</v>
      </c>
      <c r="H310" s="630">
        <v>4</v>
      </c>
      <c r="I310" s="630">
        <v>65</v>
      </c>
      <c r="J310" s="630">
        <v>0</v>
      </c>
      <c r="K310" s="630">
        <v>69</v>
      </c>
      <c r="L310" s="630">
        <v>65</v>
      </c>
      <c r="M310" s="642">
        <v>65</v>
      </c>
    </row>
    <row r="311" spans="1:13" ht="15" customHeight="1">
      <c r="A311" s="639">
        <v>11210</v>
      </c>
      <c r="B311" s="627" t="s">
        <v>221</v>
      </c>
      <c r="C311" s="627" t="s">
        <v>115</v>
      </c>
      <c r="D311" s="627" t="s">
        <v>93</v>
      </c>
      <c r="E311" s="628">
        <v>1</v>
      </c>
      <c r="F311" s="628" t="s">
        <v>114</v>
      </c>
      <c r="G311" s="628">
        <v>0</v>
      </c>
      <c r="H311" s="628">
        <v>13</v>
      </c>
      <c r="I311" s="628">
        <v>84</v>
      </c>
      <c r="J311" s="628">
        <v>0</v>
      </c>
      <c r="K311" s="628">
        <v>97</v>
      </c>
      <c r="L311" s="628">
        <v>84</v>
      </c>
      <c r="M311" s="640">
        <v>84</v>
      </c>
    </row>
    <row r="312" spans="1:13" ht="15" customHeight="1">
      <c r="A312" s="641">
        <v>11210</v>
      </c>
      <c r="B312" s="629" t="s">
        <v>221</v>
      </c>
      <c r="C312" s="629" t="s">
        <v>90</v>
      </c>
      <c r="D312" s="629" t="s">
        <v>91</v>
      </c>
      <c r="E312" s="630">
        <v>1.2</v>
      </c>
      <c r="F312" s="630" t="s">
        <v>116</v>
      </c>
      <c r="G312" s="630">
        <v>0</v>
      </c>
      <c r="H312" s="630">
        <v>0</v>
      </c>
      <c r="I312" s="630">
        <v>27</v>
      </c>
      <c r="J312" s="630">
        <v>0</v>
      </c>
      <c r="K312" s="630">
        <v>27</v>
      </c>
      <c r="L312" s="630">
        <v>27</v>
      </c>
      <c r="M312" s="642">
        <v>32.4</v>
      </c>
    </row>
    <row r="313" spans="1:13" ht="15" customHeight="1">
      <c r="A313" s="639">
        <v>11210</v>
      </c>
      <c r="B313" s="627" t="s">
        <v>221</v>
      </c>
      <c r="C313" s="627" t="s">
        <v>90</v>
      </c>
      <c r="D313" s="627" t="s">
        <v>91</v>
      </c>
      <c r="E313" s="628">
        <v>1.2</v>
      </c>
      <c r="F313" s="628" t="s">
        <v>114</v>
      </c>
      <c r="G313" s="628">
        <v>0</v>
      </c>
      <c r="H313" s="628">
        <v>11</v>
      </c>
      <c r="I313" s="628">
        <v>44</v>
      </c>
      <c r="J313" s="628">
        <v>0</v>
      </c>
      <c r="K313" s="628">
        <v>55</v>
      </c>
      <c r="L313" s="628">
        <v>44</v>
      </c>
      <c r="M313" s="640">
        <v>52.8</v>
      </c>
    </row>
    <row r="314" spans="1:13" ht="15" customHeight="1">
      <c r="A314" s="641">
        <v>11210</v>
      </c>
      <c r="B314" s="629" t="s">
        <v>221</v>
      </c>
      <c r="C314" s="629" t="s">
        <v>252</v>
      </c>
      <c r="D314" s="629" t="s">
        <v>20</v>
      </c>
      <c r="E314" s="630">
        <v>1</v>
      </c>
      <c r="F314" s="630" t="s">
        <v>116</v>
      </c>
      <c r="G314" s="630">
        <v>0</v>
      </c>
      <c r="H314" s="630">
        <v>0</v>
      </c>
      <c r="I314" s="630">
        <v>69</v>
      </c>
      <c r="J314" s="630">
        <v>0</v>
      </c>
      <c r="K314" s="630">
        <v>69</v>
      </c>
      <c r="L314" s="630">
        <v>69</v>
      </c>
      <c r="M314" s="642">
        <v>69</v>
      </c>
    </row>
    <row r="315" spans="1:13" ht="15" customHeight="1">
      <c r="A315" s="639">
        <v>11210</v>
      </c>
      <c r="B315" s="627" t="s">
        <v>221</v>
      </c>
      <c r="C315" s="627" t="s">
        <v>252</v>
      </c>
      <c r="D315" s="627" t="s">
        <v>20</v>
      </c>
      <c r="E315" s="628">
        <v>1</v>
      </c>
      <c r="F315" s="628" t="s">
        <v>114</v>
      </c>
      <c r="G315" s="628">
        <v>0</v>
      </c>
      <c r="H315" s="628">
        <v>8</v>
      </c>
      <c r="I315" s="628">
        <v>85</v>
      </c>
      <c r="J315" s="628">
        <v>1</v>
      </c>
      <c r="K315" s="628">
        <v>94</v>
      </c>
      <c r="L315" s="628">
        <v>85.5</v>
      </c>
      <c r="M315" s="640">
        <v>85.5</v>
      </c>
    </row>
    <row r="316" spans="1:13" ht="15" customHeight="1">
      <c r="A316" s="641">
        <v>11210</v>
      </c>
      <c r="B316" s="629" t="s">
        <v>221</v>
      </c>
      <c r="C316" s="629" t="s">
        <v>253</v>
      </c>
      <c r="D316" s="629" t="s">
        <v>244</v>
      </c>
      <c r="E316" s="630">
        <v>1</v>
      </c>
      <c r="F316" s="630" t="s">
        <v>116</v>
      </c>
      <c r="G316" s="630">
        <v>0</v>
      </c>
      <c r="H316" s="630">
        <v>5</v>
      </c>
      <c r="I316" s="630">
        <v>22</v>
      </c>
      <c r="J316" s="630">
        <v>0</v>
      </c>
      <c r="K316" s="630">
        <v>27</v>
      </c>
      <c r="L316" s="630">
        <v>22</v>
      </c>
      <c r="M316" s="642">
        <v>22</v>
      </c>
    </row>
    <row r="317" spans="1:13" ht="15" customHeight="1">
      <c r="A317" s="639">
        <v>11210</v>
      </c>
      <c r="B317" s="627" t="s">
        <v>221</v>
      </c>
      <c r="C317" s="627" t="s">
        <v>253</v>
      </c>
      <c r="D317" s="627" t="s">
        <v>244</v>
      </c>
      <c r="E317" s="628">
        <v>1</v>
      </c>
      <c r="F317" s="628" t="s">
        <v>114</v>
      </c>
      <c r="G317" s="628">
        <v>0</v>
      </c>
      <c r="H317" s="628">
        <v>18</v>
      </c>
      <c r="I317" s="628">
        <v>40</v>
      </c>
      <c r="J317" s="628">
        <v>0</v>
      </c>
      <c r="K317" s="628">
        <v>58</v>
      </c>
      <c r="L317" s="628">
        <v>40</v>
      </c>
      <c r="M317" s="640">
        <v>40</v>
      </c>
    </row>
    <row r="318" spans="1:13" ht="15" customHeight="1">
      <c r="A318" s="641">
        <v>11210</v>
      </c>
      <c r="B318" s="629" t="s">
        <v>221</v>
      </c>
      <c r="C318" s="629" t="s">
        <v>66</v>
      </c>
      <c r="D318" s="629" t="s">
        <v>62</v>
      </c>
      <c r="E318" s="630">
        <v>1</v>
      </c>
      <c r="F318" s="630" t="s">
        <v>119</v>
      </c>
      <c r="G318" s="630">
        <v>0</v>
      </c>
      <c r="H318" s="630">
        <v>0</v>
      </c>
      <c r="I318" s="630">
        <v>4</v>
      </c>
      <c r="J318" s="630">
        <v>0</v>
      </c>
      <c r="K318" s="630">
        <v>4</v>
      </c>
      <c r="L318" s="630">
        <v>4</v>
      </c>
      <c r="M318" s="642">
        <v>4</v>
      </c>
    </row>
    <row r="319" spans="1:13" ht="15" customHeight="1">
      <c r="A319" s="639">
        <v>11210</v>
      </c>
      <c r="B319" s="627" t="s">
        <v>221</v>
      </c>
      <c r="C319" s="627" t="s">
        <v>66</v>
      </c>
      <c r="D319" s="627" t="s">
        <v>62</v>
      </c>
      <c r="E319" s="628">
        <v>1</v>
      </c>
      <c r="F319" s="628" t="s">
        <v>122</v>
      </c>
      <c r="G319" s="628">
        <v>0</v>
      </c>
      <c r="H319" s="628">
        <v>10</v>
      </c>
      <c r="I319" s="628">
        <v>21</v>
      </c>
      <c r="J319" s="628">
        <v>0</v>
      </c>
      <c r="K319" s="628">
        <v>31</v>
      </c>
      <c r="L319" s="628">
        <v>21</v>
      </c>
      <c r="M319" s="640">
        <v>21</v>
      </c>
    </row>
    <row r="320" spans="1:13" ht="15" customHeight="1">
      <c r="A320" s="641">
        <v>11210</v>
      </c>
      <c r="B320" s="629" t="s">
        <v>221</v>
      </c>
      <c r="C320" s="629" t="s">
        <v>254</v>
      </c>
      <c r="D320" s="629" t="s">
        <v>224</v>
      </c>
      <c r="E320" s="630">
        <v>1</v>
      </c>
      <c r="F320" s="630" t="s">
        <v>119</v>
      </c>
      <c r="G320" s="630">
        <v>0</v>
      </c>
      <c r="H320" s="630">
        <v>0</v>
      </c>
      <c r="I320" s="630">
        <v>1</v>
      </c>
      <c r="J320" s="630">
        <v>0</v>
      </c>
      <c r="K320" s="630">
        <v>1</v>
      </c>
      <c r="L320" s="630">
        <v>1</v>
      </c>
      <c r="M320" s="642">
        <v>1</v>
      </c>
    </row>
    <row r="321" spans="1:13" ht="15" customHeight="1">
      <c r="A321" s="639">
        <v>11210</v>
      </c>
      <c r="B321" s="627" t="s">
        <v>221</v>
      </c>
      <c r="C321" s="627" t="s">
        <v>254</v>
      </c>
      <c r="D321" s="627" t="s">
        <v>224</v>
      </c>
      <c r="E321" s="628">
        <v>1</v>
      </c>
      <c r="F321" s="628" t="s">
        <v>122</v>
      </c>
      <c r="G321" s="628">
        <v>0</v>
      </c>
      <c r="H321" s="628">
        <v>2</v>
      </c>
      <c r="I321" s="628">
        <v>2</v>
      </c>
      <c r="J321" s="628">
        <v>0</v>
      </c>
      <c r="K321" s="628">
        <v>4</v>
      </c>
      <c r="L321" s="628">
        <v>2</v>
      </c>
      <c r="M321" s="640">
        <v>2</v>
      </c>
    </row>
    <row r="322" spans="1:13" ht="15" customHeight="1">
      <c r="A322" s="641">
        <v>11210</v>
      </c>
      <c r="B322" s="629" t="s">
        <v>221</v>
      </c>
      <c r="C322" s="629" t="s">
        <v>56</v>
      </c>
      <c r="D322" s="629" t="s">
        <v>50</v>
      </c>
      <c r="E322" s="630">
        <v>1</v>
      </c>
      <c r="F322" s="630" t="s">
        <v>119</v>
      </c>
      <c r="G322" s="630">
        <v>0</v>
      </c>
      <c r="H322" s="630">
        <v>0</v>
      </c>
      <c r="I322" s="630">
        <v>3</v>
      </c>
      <c r="J322" s="630">
        <v>0</v>
      </c>
      <c r="K322" s="630">
        <v>3</v>
      </c>
      <c r="L322" s="630">
        <v>3</v>
      </c>
      <c r="M322" s="642">
        <v>3</v>
      </c>
    </row>
    <row r="323" spans="1:13" ht="15" customHeight="1">
      <c r="A323" s="639">
        <v>11210</v>
      </c>
      <c r="B323" s="627" t="s">
        <v>221</v>
      </c>
      <c r="C323" s="627" t="s">
        <v>56</v>
      </c>
      <c r="D323" s="627" t="s">
        <v>50</v>
      </c>
      <c r="E323" s="628">
        <v>1</v>
      </c>
      <c r="F323" s="628" t="s">
        <v>122</v>
      </c>
      <c r="G323" s="628">
        <v>0</v>
      </c>
      <c r="H323" s="628">
        <v>8</v>
      </c>
      <c r="I323" s="628">
        <v>8</v>
      </c>
      <c r="J323" s="628">
        <v>0</v>
      </c>
      <c r="K323" s="628">
        <v>16</v>
      </c>
      <c r="L323" s="628">
        <v>8</v>
      </c>
      <c r="M323" s="640">
        <v>8</v>
      </c>
    </row>
    <row r="324" spans="1:13" ht="15" customHeight="1">
      <c r="A324" s="641">
        <v>11210</v>
      </c>
      <c r="B324" s="629" t="s">
        <v>221</v>
      </c>
      <c r="C324" s="629" t="s">
        <v>57</v>
      </c>
      <c r="D324" s="629" t="s">
        <v>54</v>
      </c>
      <c r="E324" s="630">
        <v>1</v>
      </c>
      <c r="F324" s="630" t="s">
        <v>119</v>
      </c>
      <c r="G324" s="630">
        <v>0</v>
      </c>
      <c r="H324" s="630">
        <v>1</v>
      </c>
      <c r="I324" s="630">
        <v>5</v>
      </c>
      <c r="J324" s="630">
        <v>0</v>
      </c>
      <c r="K324" s="630">
        <v>6</v>
      </c>
      <c r="L324" s="630">
        <v>5</v>
      </c>
      <c r="M324" s="642">
        <v>5</v>
      </c>
    </row>
    <row r="325" spans="1:13" ht="15" customHeight="1">
      <c r="A325" s="639">
        <v>11210</v>
      </c>
      <c r="B325" s="627" t="s">
        <v>221</v>
      </c>
      <c r="C325" s="627" t="s">
        <v>57</v>
      </c>
      <c r="D325" s="627" t="s">
        <v>54</v>
      </c>
      <c r="E325" s="628">
        <v>1</v>
      </c>
      <c r="F325" s="628" t="s">
        <v>122</v>
      </c>
      <c r="G325" s="628">
        <v>0</v>
      </c>
      <c r="H325" s="628">
        <v>15</v>
      </c>
      <c r="I325" s="628">
        <v>12</v>
      </c>
      <c r="J325" s="628">
        <v>1</v>
      </c>
      <c r="K325" s="628">
        <v>28</v>
      </c>
      <c r="L325" s="628">
        <v>12.5</v>
      </c>
      <c r="M325" s="640">
        <v>12.5</v>
      </c>
    </row>
    <row r="326" spans="1:13" ht="15" customHeight="1">
      <c r="A326" s="641">
        <v>11210</v>
      </c>
      <c r="B326" s="629" t="s">
        <v>221</v>
      </c>
      <c r="C326" s="629" t="s">
        <v>586</v>
      </c>
      <c r="D326" s="629" t="s">
        <v>230</v>
      </c>
      <c r="E326" s="630">
        <v>1</v>
      </c>
      <c r="F326" s="630" t="s">
        <v>119</v>
      </c>
      <c r="G326" s="630">
        <v>0</v>
      </c>
      <c r="H326" s="630">
        <v>0</v>
      </c>
      <c r="I326" s="630">
        <v>2</v>
      </c>
      <c r="J326" s="630">
        <v>0</v>
      </c>
      <c r="K326" s="630">
        <v>2</v>
      </c>
      <c r="L326" s="630">
        <v>2</v>
      </c>
      <c r="M326" s="642">
        <v>2</v>
      </c>
    </row>
    <row r="327" spans="1:13" ht="15" customHeight="1">
      <c r="A327" s="639">
        <v>11210</v>
      </c>
      <c r="B327" s="627" t="s">
        <v>221</v>
      </c>
      <c r="C327" s="627" t="s">
        <v>586</v>
      </c>
      <c r="D327" s="627" t="s">
        <v>230</v>
      </c>
      <c r="E327" s="628">
        <v>1</v>
      </c>
      <c r="F327" s="628" t="s">
        <v>122</v>
      </c>
      <c r="G327" s="628">
        <v>0</v>
      </c>
      <c r="H327" s="628">
        <v>1</v>
      </c>
      <c r="I327" s="628">
        <v>3</v>
      </c>
      <c r="J327" s="628">
        <v>0</v>
      </c>
      <c r="K327" s="628">
        <v>4</v>
      </c>
      <c r="L327" s="628">
        <v>3</v>
      </c>
      <c r="M327" s="640">
        <v>3</v>
      </c>
    </row>
    <row r="328" spans="1:13" ht="15" customHeight="1">
      <c r="A328" s="641">
        <v>11210</v>
      </c>
      <c r="B328" s="629" t="s">
        <v>221</v>
      </c>
      <c r="C328" s="629" t="s">
        <v>255</v>
      </c>
      <c r="D328" s="629" t="s">
        <v>39</v>
      </c>
      <c r="E328" s="630">
        <v>1</v>
      </c>
      <c r="F328" s="630" t="s">
        <v>119</v>
      </c>
      <c r="G328" s="630">
        <v>0</v>
      </c>
      <c r="H328" s="630">
        <v>7</v>
      </c>
      <c r="I328" s="630">
        <v>47</v>
      </c>
      <c r="J328" s="630">
        <v>0</v>
      </c>
      <c r="K328" s="630">
        <v>54</v>
      </c>
      <c r="L328" s="630">
        <v>47</v>
      </c>
      <c r="M328" s="642">
        <v>47</v>
      </c>
    </row>
    <row r="329" spans="1:13" ht="15" customHeight="1">
      <c r="A329" s="639">
        <v>11210</v>
      </c>
      <c r="B329" s="627" t="s">
        <v>221</v>
      </c>
      <c r="C329" s="627" t="s">
        <v>255</v>
      </c>
      <c r="D329" s="627" t="s">
        <v>39</v>
      </c>
      <c r="E329" s="628">
        <v>1</v>
      </c>
      <c r="F329" s="628" t="s">
        <v>122</v>
      </c>
      <c r="G329" s="628">
        <v>0</v>
      </c>
      <c r="H329" s="628">
        <v>157</v>
      </c>
      <c r="I329" s="628">
        <v>139</v>
      </c>
      <c r="J329" s="628">
        <v>1</v>
      </c>
      <c r="K329" s="628">
        <v>297</v>
      </c>
      <c r="L329" s="628">
        <v>139.5</v>
      </c>
      <c r="M329" s="640">
        <v>139.5</v>
      </c>
    </row>
    <row r="330" spans="1:13" ht="15" customHeight="1">
      <c r="A330" s="641">
        <v>11210</v>
      </c>
      <c r="B330" s="629" t="s">
        <v>221</v>
      </c>
      <c r="C330" s="629" t="s">
        <v>256</v>
      </c>
      <c r="D330" s="629" t="s">
        <v>233</v>
      </c>
      <c r="E330" s="630">
        <v>1</v>
      </c>
      <c r="F330" s="630" t="s">
        <v>119</v>
      </c>
      <c r="G330" s="630">
        <v>0</v>
      </c>
      <c r="H330" s="630">
        <v>0</v>
      </c>
      <c r="I330" s="630">
        <v>3</v>
      </c>
      <c r="J330" s="630">
        <v>0</v>
      </c>
      <c r="K330" s="630">
        <v>3</v>
      </c>
      <c r="L330" s="630">
        <v>3</v>
      </c>
      <c r="M330" s="642">
        <v>3</v>
      </c>
    </row>
    <row r="331" spans="1:13" ht="15" customHeight="1">
      <c r="A331" s="639">
        <v>11210</v>
      </c>
      <c r="B331" s="627" t="s">
        <v>221</v>
      </c>
      <c r="C331" s="627" t="s">
        <v>256</v>
      </c>
      <c r="D331" s="627" t="s">
        <v>233</v>
      </c>
      <c r="E331" s="628">
        <v>1</v>
      </c>
      <c r="F331" s="628" t="s">
        <v>122</v>
      </c>
      <c r="G331" s="628">
        <v>0</v>
      </c>
      <c r="H331" s="628">
        <v>12</v>
      </c>
      <c r="I331" s="628">
        <v>11</v>
      </c>
      <c r="J331" s="628">
        <v>1</v>
      </c>
      <c r="K331" s="628">
        <v>24</v>
      </c>
      <c r="L331" s="628">
        <v>11.5</v>
      </c>
      <c r="M331" s="640">
        <v>11.5</v>
      </c>
    </row>
    <row r="332" spans="1:13" ht="15" customHeight="1">
      <c r="A332" s="641">
        <v>11210</v>
      </c>
      <c r="B332" s="629" t="s">
        <v>221</v>
      </c>
      <c r="C332" s="629" t="s">
        <v>257</v>
      </c>
      <c r="D332" s="629" t="s">
        <v>41</v>
      </c>
      <c r="E332" s="630">
        <v>1.2</v>
      </c>
      <c r="F332" s="630" t="s">
        <v>119</v>
      </c>
      <c r="G332" s="630">
        <v>0</v>
      </c>
      <c r="H332" s="630">
        <v>4</v>
      </c>
      <c r="I332" s="630">
        <v>52</v>
      </c>
      <c r="J332" s="630">
        <v>1</v>
      </c>
      <c r="K332" s="630">
        <v>57</v>
      </c>
      <c r="L332" s="630">
        <v>52.5</v>
      </c>
      <c r="M332" s="642">
        <v>63</v>
      </c>
    </row>
    <row r="333" spans="1:13" ht="15" customHeight="1">
      <c r="A333" s="639">
        <v>11210</v>
      </c>
      <c r="B333" s="627" t="s">
        <v>221</v>
      </c>
      <c r="C333" s="627" t="s">
        <v>257</v>
      </c>
      <c r="D333" s="627" t="s">
        <v>41</v>
      </c>
      <c r="E333" s="628">
        <v>1.2</v>
      </c>
      <c r="F333" s="628" t="s">
        <v>122</v>
      </c>
      <c r="G333" s="628">
        <v>0</v>
      </c>
      <c r="H333" s="628">
        <v>144</v>
      </c>
      <c r="I333" s="628">
        <v>144</v>
      </c>
      <c r="J333" s="628">
        <v>3</v>
      </c>
      <c r="K333" s="628">
        <v>291</v>
      </c>
      <c r="L333" s="628">
        <v>145.5</v>
      </c>
      <c r="M333" s="640">
        <v>174.6</v>
      </c>
    </row>
    <row r="334" spans="1:13" ht="15" customHeight="1">
      <c r="A334" s="641">
        <v>11210</v>
      </c>
      <c r="B334" s="629" t="s">
        <v>221</v>
      </c>
      <c r="C334" s="629" t="s">
        <v>92</v>
      </c>
      <c r="D334" s="629" t="s">
        <v>93</v>
      </c>
      <c r="E334" s="630">
        <v>1</v>
      </c>
      <c r="F334" s="630" t="s">
        <v>119</v>
      </c>
      <c r="G334" s="630">
        <v>0</v>
      </c>
      <c r="H334" s="630">
        <v>0</v>
      </c>
      <c r="I334" s="630">
        <v>4</v>
      </c>
      <c r="J334" s="630">
        <v>0</v>
      </c>
      <c r="K334" s="630">
        <v>4</v>
      </c>
      <c r="L334" s="630">
        <v>4</v>
      </c>
      <c r="M334" s="642">
        <v>4</v>
      </c>
    </row>
    <row r="335" spans="1:13" ht="15" customHeight="1">
      <c r="A335" s="639">
        <v>11210</v>
      </c>
      <c r="B335" s="627" t="s">
        <v>221</v>
      </c>
      <c r="C335" s="627" t="s">
        <v>92</v>
      </c>
      <c r="D335" s="627" t="s">
        <v>93</v>
      </c>
      <c r="E335" s="628">
        <v>1</v>
      </c>
      <c r="F335" s="628" t="s">
        <v>122</v>
      </c>
      <c r="G335" s="628">
        <v>0</v>
      </c>
      <c r="H335" s="628">
        <v>7</v>
      </c>
      <c r="I335" s="628">
        <v>11</v>
      </c>
      <c r="J335" s="628">
        <v>0</v>
      </c>
      <c r="K335" s="628">
        <v>18</v>
      </c>
      <c r="L335" s="628">
        <v>11</v>
      </c>
      <c r="M335" s="640">
        <v>11</v>
      </c>
    </row>
    <row r="336" spans="1:13" ht="15" customHeight="1">
      <c r="A336" s="641">
        <v>11210</v>
      </c>
      <c r="B336" s="629" t="s">
        <v>221</v>
      </c>
      <c r="C336" s="629" t="s">
        <v>19</v>
      </c>
      <c r="D336" s="629" t="s">
        <v>20</v>
      </c>
      <c r="E336" s="630">
        <v>1</v>
      </c>
      <c r="F336" s="630" t="s">
        <v>119</v>
      </c>
      <c r="G336" s="630">
        <v>0</v>
      </c>
      <c r="H336" s="630">
        <v>0</v>
      </c>
      <c r="I336" s="630">
        <v>5</v>
      </c>
      <c r="J336" s="630">
        <v>0</v>
      </c>
      <c r="K336" s="630">
        <v>5</v>
      </c>
      <c r="L336" s="630">
        <v>5</v>
      </c>
      <c r="M336" s="642">
        <v>5</v>
      </c>
    </row>
    <row r="337" spans="1:13" ht="15" customHeight="1">
      <c r="A337" s="639">
        <v>11210</v>
      </c>
      <c r="B337" s="627" t="s">
        <v>221</v>
      </c>
      <c r="C337" s="627" t="s">
        <v>19</v>
      </c>
      <c r="D337" s="627" t="s">
        <v>20</v>
      </c>
      <c r="E337" s="628">
        <v>1</v>
      </c>
      <c r="F337" s="628" t="s">
        <v>122</v>
      </c>
      <c r="G337" s="628">
        <v>0</v>
      </c>
      <c r="H337" s="628">
        <v>17</v>
      </c>
      <c r="I337" s="628">
        <v>33</v>
      </c>
      <c r="J337" s="628">
        <v>1</v>
      </c>
      <c r="K337" s="628">
        <v>51</v>
      </c>
      <c r="L337" s="628">
        <v>33.5</v>
      </c>
      <c r="M337" s="640">
        <v>33.5</v>
      </c>
    </row>
    <row r="338" spans="1:13" ht="15" customHeight="1">
      <c r="A338" s="641">
        <v>11210</v>
      </c>
      <c r="B338" s="629" t="s">
        <v>221</v>
      </c>
      <c r="C338" s="629" t="s">
        <v>258</v>
      </c>
      <c r="D338" s="629" t="s">
        <v>244</v>
      </c>
      <c r="E338" s="630">
        <v>1</v>
      </c>
      <c r="F338" s="630" t="s">
        <v>119</v>
      </c>
      <c r="G338" s="630">
        <v>0</v>
      </c>
      <c r="H338" s="630">
        <v>0</v>
      </c>
      <c r="I338" s="630">
        <v>12</v>
      </c>
      <c r="J338" s="630">
        <v>0</v>
      </c>
      <c r="K338" s="630">
        <v>12</v>
      </c>
      <c r="L338" s="630">
        <v>12</v>
      </c>
      <c r="M338" s="642">
        <v>12</v>
      </c>
    </row>
    <row r="339" spans="1:13" ht="15" customHeight="1">
      <c r="A339" s="639">
        <v>11210</v>
      </c>
      <c r="B339" s="627" t="s">
        <v>221</v>
      </c>
      <c r="C339" s="627" t="s">
        <v>258</v>
      </c>
      <c r="D339" s="627" t="s">
        <v>244</v>
      </c>
      <c r="E339" s="628">
        <v>1</v>
      </c>
      <c r="F339" s="628" t="s">
        <v>122</v>
      </c>
      <c r="G339" s="628">
        <v>0</v>
      </c>
      <c r="H339" s="628">
        <v>65</v>
      </c>
      <c r="I339" s="628">
        <v>43</v>
      </c>
      <c r="J339" s="628">
        <v>0</v>
      </c>
      <c r="K339" s="628">
        <v>108</v>
      </c>
      <c r="L339" s="628">
        <v>43</v>
      </c>
      <c r="M339" s="640">
        <v>43</v>
      </c>
    </row>
    <row r="340" spans="1:13" ht="15" customHeight="1">
      <c r="A340" s="643">
        <v>11210</v>
      </c>
      <c r="B340" s="631" t="s">
        <v>163</v>
      </c>
      <c r="C340" s="631"/>
      <c r="D340" s="631"/>
      <c r="E340" s="631"/>
      <c r="F340" s="632" t="s">
        <v>132</v>
      </c>
      <c r="G340" s="632">
        <v>592</v>
      </c>
      <c r="H340" s="632">
        <v>64</v>
      </c>
      <c r="I340" s="632">
        <v>400</v>
      </c>
      <c r="J340" s="632">
        <v>4</v>
      </c>
      <c r="K340" s="632">
        <v>1060</v>
      </c>
      <c r="L340" s="632"/>
      <c r="M340" s="644"/>
    </row>
    <row r="341" spans="1:13" ht="15" customHeight="1">
      <c r="A341" s="643">
        <v>11210</v>
      </c>
      <c r="B341" s="631" t="s">
        <v>163</v>
      </c>
      <c r="C341" s="631"/>
      <c r="D341" s="631"/>
      <c r="E341" s="631"/>
      <c r="F341" s="632" t="s">
        <v>109</v>
      </c>
      <c r="G341" s="632">
        <v>0</v>
      </c>
      <c r="H341" s="632">
        <v>452</v>
      </c>
      <c r="I341" s="632">
        <v>1729</v>
      </c>
      <c r="J341" s="632">
        <v>38</v>
      </c>
      <c r="K341" s="632">
        <v>2219</v>
      </c>
      <c r="L341" s="632"/>
      <c r="M341" s="644"/>
    </row>
    <row r="342" spans="1:13" ht="15" customHeight="1">
      <c r="A342" s="643">
        <v>11210</v>
      </c>
      <c r="B342" s="631" t="s">
        <v>163</v>
      </c>
      <c r="C342" s="631"/>
      <c r="D342" s="631"/>
      <c r="E342" s="631"/>
      <c r="F342" s="632" t="s">
        <v>110</v>
      </c>
      <c r="G342" s="632">
        <v>0</v>
      </c>
      <c r="H342" s="632">
        <v>0</v>
      </c>
      <c r="I342" s="632">
        <v>0</v>
      </c>
      <c r="J342" s="632">
        <v>0</v>
      </c>
      <c r="K342" s="632">
        <v>0</v>
      </c>
      <c r="L342" s="632"/>
      <c r="M342" s="644"/>
    </row>
    <row r="343" spans="1:13" ht="15" customHeight="1">
      <c r="A343" s="643">
        <v>11210</v>
      </c>
      <c r="B343" s="631" t="s">
        <v>163</v>
      </c>
      <c r="C343" s="631"/>
      <c r="D343" s="631"/>
      <c r="E343" s="631"/>
      <c r="F343" s="632" t="s">
        <v>113</v>
      </c>
      <c r="G343" s="632">
        <v>0</v>
      </c>
      <c r="H343" s="632">
        <v>3</v>
      </c>
      <c r="I343" s="632">
        <v>0</v>
      </c>
      <c r="J343" s="632">
        <v>0</v>
      </c>
      <c r="K343" s="632">
        <v>3</v>
      </c>
      <c r="L343" s="632"/>
      <c r="M343" s="644"/>
    </row>
    <row r="344" spans="1:13" ht="15" customHeight="1">
      <c r="A344" s="643">
        <v>11210</v>
      </c>
      <c r="B344" s="631" t="s">
        <v>163</v>
      </c>
      <c r="C344" s="631"/>
      <c r="D344" s="631"/>
      <c r="E344" s="631"/>
      <c r="F344" s="632" t="s">
        <v>116</v>
      </c>
      <c r="G344" s="632">
        <v>0</v>
      </c>
      <c r="H344" s="632">
        <v>27</v>
      </c>
      <c r="I344" s="632">
        <v>582</v>
      </c>
      <c r="J344" s="632">
        <v>1</v>
      </c>
      <c r="K344" s="632">
        <v>610</v>
      </c>
      <c r="L344" s="632"/>
      <c r="M344" s="644"/>
    </row>
    <row r="345" spans="1:13" ht="15" customHeight="1">
      <c r="A345" s="643">
        <v>11210</v>
      </c>
      <c r="B345" s="631" t="s">
        <v>163</v>
      </c>
      <c r="C345" s="631"/>
      <c r="D345" s="631"/>
      <c r="E345" s="631"/>
      <c r="F345" s="632" t="s">
        <v>114</v>
      </c>
      <c r="G345" s="632">
        <v>0</v>
      </c>
      <c r="H345" s="632">
        <v>202</v>
      </c>
      <c r="I345" s="632">
        <v>867</v>
      </c>
      <c r="J345" s="632">
        <v>8</v>
      </c>
      <c r="K345" s="632">
        <v>1077</v>
      </c>
      <c r="L345" s="632"/>
      <c r="M345" s="644"/>
    </row>
    <row r="346" spans="1:13" ht="15" customHeight="1">
      <c r="A346" s="643">
        <v>11210</v>
      </c>
      <c r="B346" s="631" t="s">
        <v>163</v>
      </c>
      <c r="C346" s="631"/>
      <c r="D346" s="631"/>
      <c r="E346" s="631"/>
      <c r="F346" s="632" t="s">
        <v>119</v>
      </c>
      <c r="G346" s="632">
        <v>0</v>
      </c>
      <c r="H346" s="632">
        <v>12</v>
      </c>
      <c r="I346" s="632">
        <v>138</v>
      </c>
      <c r="J346" s="632">
        <v>1</v>
      </c>
      <c r="K346" s="632">
        <v>151</v>
      </c>
      <c r="L346" s="632"/>
      <c r="M346" s="644"/>
    </row>
    <row r="347" spans="1:13" ht="15" customHeight="1">
      <c r="A347" s="643">
        <v>11210</v>
      </c>
      <c r="B347" s="631" t="s">
        <v>163</v>
      </c>
      <c r="C347" s="631"/>
      <c r="D347" s="631"/>
      <c r="E347" s="631"/>
      <c r="F347" s="632" t="s">
        <v>122</v>
      </c>
      <c r="G347" s="632">
        <v>0</v>
      </c>
      <c r="H347" s="632">
        <v>438</v>
      </c>
      <c r="I347" s="632">
        <v>427</v>
      </c>
      <c r="J347" s="632">
        <v>7</v>
      </c>
      <c r="K347" s="632">
        <v>872</v>
      </c>
      <c r="L347" s="632"/>
      <c r="M347" s="644"/>
    </row>
    <row r="348" spans="1:13" ht="15" customHeight="1">
      <c r="A348" s="641">
        <v>11220</v>
      </c>
      <c r="B348" s="629" t="s">
        <v>259</v>
      </c>
      <c r="C348" s="629" t="s">
        <v>260</v>
      </c>
      <c r="D348" s="629" t="s">
        <v>261</v>
      </c>
      <c r="E348" s="630">
        <v>1</v>
      </c>
      <c r="F348" s="630" t="s">
        <v>110</v>
      </c>
      <c r="G348" s="630">
        <v>424</v>
      </c>
      <c r="H348" s="630">
        <v>24</v>
      </c>
      <c r="I348" s="630">
        <v>186</v>
      </c>
      <c r="J348" s="630">
        <v>5</v>
      </c>
      <c r="K348" s="630">
        <v>639</v>
      </c>
      <c r="L348" s="630">
        <v>612.5</v>
      </c>
      <c r="M348" s="642">
        <v>612.5</v>
      </c>
    </row>
    <row r="349" spans="1:13" ht="15" customHeight="1">
      <c r="A349" s="639">
        <v>11220</v>
      </c>
      <c r="B349" s="627" t="s">
        <v>259</v>
      </c>
      <c r="C349" s="627" t="s">
        <v>260</v>
      </c>
      <c r="D349" s="627" t="s">
        <v>261</v>
      </c>
      <c r="E349" s="628">
        <v>1</v>
      </c>
      <c r="F349" s="628" t="s">
        <v>113</v>
      </c>
      <c r="G349" s="628">
        <v>0</v>
      </c>
      <c r="H349" s="628">
        <v>571</v>
      </c>
      <c r="I349" s="628">
        <v>2376</v>
      </c>
      <c r="J349" s="628">
        <v>39</v>
      </c>
      <c r="K349" s="628">
        <v>2986</v>
      </c>
      <c r="L349" s="628">
        <v>2395.5</v>
      </c>
      <c r="M349" s="640">
        <v>2395.5</v>
      </c>
    </row>
    <row r="350" spans="1:13" ht="15" customHeight="1">
      <c r="A350" s="641">
        <v>11220</v>
      </c>
      <c r="B350" s="629" t="s">
        <v>259</v>
      </c>
      <c r="C350" s="629" t="s">
        <v>43</v>
      </c>
      <c r="D350" s="629" t="s">
        <v>44</v>
      </c>
      <c r="E350" s="630">
        <v>1</v>
      </c>
      <c r="F350" s="630" t="s">
        <v>119</v>
      </c>
      <c r="G350" s="630">
        <v>0</v>
      </c>
      <c r="H350" s="630">
        <v>8</v>
      </c>
      <c r="I350" s="630">
        <v>73</v>
      </c>
      <c r="J350" s="630">
        <v>0</v>
      </c>
      <c r="K350" s="630">
        <v>81</v>
      </c>
      <c r="L350" s="630">
        <v>73</v>
      </c>
      <c r="M350" s="642">
        <v>73</v>
      </c>
    </row>
    <row r="351" spans="1:13" ht="15" customHeight="1">
      <c r="A351" s="639">
        <v>11220</v>
      </c>
      <c r="B351" s="627" t="s">
        <v>259</v>
      </c>
      <c r="C351" s="627" t="s">
        <v>43</v>
      </c>
      <c r="D351" s="627" t="s">
        <v>44</v>
      </c>
      <c r="E351" s="628">
        <v>1</v>
      </c>
      <c r="F351" s="628" t="s">
        <v>122</v>
      </c>
      <c r="G351" s="628">
        <v>0</v>
      </c>
      <c r="H351" s="628">
        <v>156</v>
      </c>
      <c r="I351" s="628">
        <v>243</v>
      </c>
      <c r="J351" s="628">
        <v>6</v>
      </c>
      <c r="K351" s="628">
        <v>405</v>
      </c>
      <c r="L351" s="628">
        <v>246</v>
      </c>
      <c r="M351" s="640">
        <v>246</v>
      </c>
    </row>
    <row r="352" spans="1:13" ht="15" customHeight="1">
      <c r="A352" s="643">
        <v>11220</v>
      </c>
      <c r="B352" s="631" t="s">
        <v>163</v>
      </c>
      <c r="C352" s="631"/>
      <c r="D352" s="631"/>
      <c r="E352" s="631"/>
      <c r="F352" s="632" t="s">
        <v>132</v>
      </c>
      <c r="G352" s="632">
        <v>0</v>
      </c>
      <c r="H352" s="632">
        <v>0</v>
      </c>
      <c r="I352" s="632">
        <v>0</v>
      </c>
      <c r="J352" s="632">
        <v>0</v>
      </c>
      <c r="K352" s="632">
        <v>0</v>
      </c>
      <c r="L352" s="632"/>
      <c r="M352" s="644"/>
    </row>
    <row r="353" spans="1:13" ht="15" customHeight="1">
      <c r="A353" s="643">
        <v>11220</v>
      </c>
      <c r="B353" s="631" t="s">
        <v>163</v>
      </c>
      <c r="C353" s="631"/>
      <c r="D353" s="631"/>
      <c r="E353" s="631"/>
      <c r="F353" s="632" t="s">
        <v>109</v>
      </c>
      <c r="G353" s="632">
        <v>0</v>
      </c>
      <c r="H353" s="632">
        <v>0</v>
      </c>
      <c r="I353" s="632">
        <v>0</v>
      </c>
      <c r="J353" s="632">
        <v>0</v>
      </c>
      <c r="K353" s="632">
        <v>0</v>
      </c>
      <c r="L353" s="632"/>
      <c r="M353" s="644"/>
    </row>
    <row r="354" spans="1:13" ht="15" customHeight="1">
      <c r="A354" s="643">
        <v>11220</v>
      </c>
      <c r="B354" s="631" t="s">
        <v>163</v>
      </c>
      <c r="C354" s="631"/>
      <c r="D354" s="631"/>
      <c r="E354" s="631"/>
      <c r="F354" s="632" t="s">
        <v>110</v>
      </c>
      <c r="G354" s="632">
        <v>424</v>
      </c>
      <c r="H354" s="632">
        <v>24</v>
      </c>
      <c r="I354" s="632">
        <v>186</v>
      </c>
      <c r="J354" s="632">
        <v>5</v>
      </c>
      <c r="K354" s="632">
        <v>639</v>
      </c>
      <c r="L354" s="632"/>
      <c r="M354" s="644"/>
    </row>
    <row r="355" spans="1:13" ht="15" customHeight="1">
      <c r="A355" s="643">
        <v>11220</v>
      </c>
      <c r="B355" s="631" t="s">
        <v>163</v>
      </c>
      <c r="C355" s="631"/>
      <c r="D355" s="631"/>
      <c r="E355" s="631"/>
      <c r="F355" s="632" t="s">
        <v>113</v>
      </c>
      <c r="G355" s="632">
        <v>0</v>
      </c>
      <c r="H355" s="632">
        <v>571</v>
      </c>
      <c r="I355" s="632">
        <v>2376</v>
      </c>
      <c r="J355" s="632">
        <v>39</v>
      </c>
      <c r="K355" s="632">
        <v>2986</v>
      </c>
      <c r="L355" s="632"/>
      <c r="M355" s="644"/>
    </row>
    <row r="356" spans="1:13" ht="15" customHeight="1">
      <c r="A356" s="643">
        <v>11220</v>
      </c>
      <c r="B356" s="631" t="s">
        <v>163</v>
      </c>
      <c r="C356" s="631"/>
      <c r="D356" s="631"/>
      <c r="E356" s="631"/>
      <c r="F356" s="632" t="s">
        <v>116</v>
      </c>
      <c r="G356" s="632">
        <v>0</v>
      </c>
      <c r="H356" s="632">
        <v>0</v>
      </c>
      <c r="I356" s="632">
        <v>0</v>
      </c>
      <c r="J356" s="632">
        <v>0</v>
      </c>
      <c r="K356" s="632">
        <v>0</v>
      </c>
      <c r="L356" s="632"/>
      <c r="M356" s="644"/>
    </row>
    <row r="357" spans="1:13" ht="15" customHeight="1">
      <c r="A357" s="643">
        <v>11220</v>
      </c>
      <c r="B357" s="631" t="s">
        <v>163</v>
      </c>
      <c r="C357" s="631"/>
      <c r="D357" s="631"/>
      <c r="E357" s="631"/>
      <c r="F357" s="632" t="s">
        <v>114</v>
      </c>
      <c r="G357" s="632">
        <v>0</v>
      </c>
      <c r="H357" s="632">
        <v>0</v>
      </c>
      <c r="I357" s="632">
        <v>0</v>
      </c>
      <c r="J357" s="632">
        <v>0</v>
      </c>
      <c r="K357" s="632">
        <v>0</v>
      </c>
      <c r="L357" s="632"/>
      <c r="M357" s="644"/>
    </row>
    <row r="358" spans="1:13" ht="15" customHeight="1">
      <c r="A358" s="643">
        <v>11220</v>
      </c>
      <c r="B358" s="631" t="s">
        <v>163</v>
      </c>
      <c r="C358" s="631"/>
      <c r="D358" s="631"/>
      <c r="E358" s="631"/>
      <c r="F358" s="632" t="s">
        <v>119</v>
      </c>
      <c r="G358" s="632">
        <v>0</v>
      </c>
      <c r="H358" s="632">
        <v>8</v>
      </c>
      <c r="I358" s="632">
        <v>73</v>
      </c>
      <c r="J358" s="632">
        <v>0</v>
      </c>
      <c r="K358" s="632">
        <v>81</v>
      </c>
      <c r="L358" s="632"/>
      <c r="M358" s="644"/>
    </row>
    <row r="359" spans="1:13" ht="15" customHeight="1">
      <c r="A359" s="643">
        <v>11220</v>
      </c>
      <c r="B359" s="631" t="s">
        <v>163</v>
      </c>
      <c r="C359" s="631"/>
      <c r="D359" s="631"/>
      <c r="E359" s="631"/>
      <c r="F359" s="632" t="s">
        <v>122</v>
      </c>
      <c r="G359" s="632">
        <v>0</v>
      </c>
      <c r="H359" s="632">
        <v>156</v>
      </c>
      <c r="I359" s="632">
        <v>243</v>
      </c>
      <c r="J359" s="632">
        <v>6</v>
      </c>
      <c r="K359" s="632">
        <v>405</v>
      </c>
      <c r="L359" s="632"/>
      <c r="M359" s="644"/>
    </row>
    <row r="360" spans="1:13" ht="15" customHeight="1">
      <c r="A360" s="641">
        <v>11230</v>
      </c>
      <c r="B360" s="629" t="s">
        <v>262</v>
      </c>
      <c r="C360" s="629" t="s">
        <v>46</v>
      </c>
      <c r="D360" s="629" t="s">
        <v>47</v>
      </c>
      <c r="E360" s="630">
        <v>1</v>
      </c>
      <c r="F360" s="630" t="s">
        <v>132</v>
      </c>
      <c r="G360" s="630">
        <v>85</v>
      </c>
      <c r="H360" s="630">
        <v>2</v>
      </c>
      <c r="I360" s="630">
        <v>19</v>
      </c>
      <c r="J360" s="630">
        <v>0</v>
      </c>
      <c r="K360" s="630">
        <v>106</v>
      </c>
      <c r="L360" s="630">
        <v>104</v>
      </c>
      <c r="M360" s="642">
        <v>104</v>
      </c>
    </row>
    <row r="361" spans="1:13" ht="15" customHeight="1">
      <c r="A361" s="639">
        <v>11230</v>
      </c>
      <c r="B361" s="627" t="s">
        <v>262</v>
      </c>
      <c r="C361" s="627" t="s">
        <v>46</v>
      </c>
      <c r="D361" s="627" t="s">
        <v>47</v>
      </c>
      <c r="E361" s="628">
        <v>1</v>
      </c>
      <c r="F361" s="628" t="s">
        <v>109</v>
      </c>
      <c r="G361" s="628">
        <v>0</v>
      </c>
      <c r="H361" s="628">
        <v>23</v>
      </c>
      <c r="I361" s="628">
        <v>209</v>
      </c>
      <c r="J361" s="628">
        <v>1</v>
      </c>
      <c r="K361" s="628">
        <v>233</v>
      </c>
      <c r="L361" s="628">
        <v>209.5</v>
      </c>
      <c r="M361" s="640">
        <v>209.5</v>
      </c>
    </row>
    <row r="362" spans="1:13" ht="15" customHeight="1">
      <c r="A362" s="641">
        <v>11230</v>
      </c>
      <c r="B362" s="629" t="s">
        <v>262</v>
      </c>
      <c r="C362" s="629" t="s">
        <v>227</v>
      </c>
      <c r="D362" s="629" t="s">
        <v>50</v>
      </c>
      <c r="E362" s="630">
        <v>1</v>
      </c>
      <c r="F362" s="630" t="s">
        <v>132</v>
      </c>
      <c r="G362" s="630">
        <v>115</v>
      </c>
      <c r="H362" s="630">
        <v>0</v>
      </c>
      <c r="I362" s="630">
        <v>54</v>
      </c>
      <c r="J362" s="630">
        <v>0</v>
      </c>
      <c r="K362" s="630">
        <v>169</v>
      </c>
      <c r="L362" s="630">
        <v>169</v>
      </c>
      <c r="M362" s="642">
        <v>169</v>
      </c>
    </row>
    <row r="363" spans="1:13" ht="15" customHeight="1">
      <c r="A363" s="639">
        <v>11230</v>
      </c>
      <c r="B363" s="627" t="s">
        <v>262</v>
      </c>
      <c r="C363" s="627" t="s">
        <v>227</v>
      </c>
      <c r="D363" s="627" t="s">
        <v>50</v>
      </c>
      <c r="E363" s="628">
        <v>1</v>
      </c>
      <c r="F363" s="628" t="s">
        <v>109</v>
      </c>
      <c r="G363" s="628">
        <v>0</v>
      </c>
      <c r="H363" s="628">
        <v>28</v>
      </c>
      <c r="I363" s="628">
        <v>233</v>
      </c>
      <c r="J363" s="628">
        <v>3</v>
      </c>
      <c r="K363" s="628">
        <v>264</v>
      </c>
      <c r="L363" s="628">
        <v>234.5</v>
      </c>
      <c r="M363" s="640">
        <v>234.5</v>
      </c>
    </row>
    <row r="364" spans="1:13" ht="15" customHeight="1">
      <c r="A364" s="641">
        <v>11230</v>
      </c>
      <c r="B364" s="629" t="s">
        <v>262</v>
      </c>
      <c r="C364" s="629" t="s">
        <v>263</v>
      </c>
      <c r="D364" s="629" t="s">
        <v>52</v>
      </c>
      <c r="E364" s="630">
        <v>1</v>
      </c>
      <c r="F364" s="630" t="s">
        <v>132</v>
      </c>
      <c r="G364" s="630">
        <v>129</v>
      </c>
      <c r="H364" s="630">
        <v>5</v>
      </c>
      <c r="I364" s="630">
        <v>71</v>
      </c>
      <c r="J364" s="630">
        <v>2</v>
      </c>
      <c r="K364" s="630">
        <v>207</v>
      </c>
      <c r="L364" s="630">
        <v>201</v>
      </c>
      <c r="M364" s="642">
        <v>201</v>
      </c>
    </row>
    <row r="365" spans="1:13" ht="15" customHeight="1">
      <c r="A365" s="639">
        <v>11230</v>
      </c>
      <c r="B365" s="627" t="s">
        <v>262</v>
      </c>
      <c r="C365" s="627" t="s">
        <v>263</v>
      </c>
      <c r="D365" s="627" t="s">
        <v>52</v>
      </c>
      <c r="E365" s="628">
        <v>1</v>
      </c>
      <c r="F365" s="628" t="s">
        <v>109</v>
      </c>
      <c r="G365" s="628">
        <v>0</v>
      </c>
      <c r="H365" s="628">
        <v>36</v>
      </c>
      <c r="I365" s="628">
        <v>286</v>
      </c>
      <c r="J365" s="628">
        <v>5</v>
      </c>
      <c r="K365" s="628">
        <v>327</v>
      </c>
      <c r="L365" s="628">
        <v>288.5</v>
      </c>
      <c r="M365" s="640">
        <v>288.5</v>
      </c>
    </row>
    <row r="366" spans="1:13" ht="15" customHeight="1">
      <c r="A366" s="641">
        <v>11230</v>
      </c>
      <c r="B366" s="629" t="s">
        <v>262</v>
      </c>
      <c r="C366" s="629" t="s">
        <v>228</v>
      </c>
      <c r="D366" s="629" t="s">
        <v>54</v>
      </c>
      <c r="E366" s="630">
        <v>1</v>
      </c>
      <c r="F366" s="630" t="s">
        <v>132</v>
      </c>
      <c r="G366" s="630">
        <v>91</v>
      </c>
      <c r="H366" s="630">
        <v>0</v>
      </c>
      <c r="I366" s="630">
        <v>37</v>
      </c>
      <c r="J366" s="630">
        <v>0</v>
      </c>
      <c r="K366" s="630">
        <v>128</v>
      </c>
      <c r="L366" s="630">
        <v>128</v>
      </c>
      <c r="M366" s="642">
        <v>128</v>
      </c>
    </row>
    <row r="367" spans="1:13" ht="15" customHeight="1">
      <c r="A367" s="639">
        <v>11230</v>
      </c>
      <c r="B367" s="627" t="s">
        <v>262</v>
      </c>
      <c r="C367" s="627" t="s">
        <v>228</v>
      </c>
      <c r="D367" s="627" t="s">
        <v>54</v>
      </c>
      <c r="E367" s="628">
        <v>1</v>
      </c>
      <c r="F367" s="628" t="s">
        <v>109</v>
      </c>
      <c r="G367" s="628">
        <v>0</v>
      </c>
      <c r="H367" s="628">
        <v>20</v>
      </c>
      <c r="I367" s="628">
        <v>157</v>
      </c>
      <c r="J367" s="628">
        <v>1</v>
      </c>
      <c r="K367" s="628">
        <v>178</v>
      </c>
      <c r="L367" s="628">
        <v>157.5</v>
      </c>
      <c r="M367" s="640">
        <v>157.5</v>
      </c>
    </row>
    <row r="368" spans="1:13" ht="15" customHeight="1">
      <c r="A368" s="641">
        <v>11230</v>
      </c>
      <c r="B368" s="629" t="s">
        <v>262</v>
      </c>
      <c r="C368" s="629" t="s">
        <v>231</v>
      </c>
      <c r="D368" s="629" t="s">
        <v>39</v>
      </c>
      <c r="E368" s="630">
        <v>1</v>
      </c>
      <c r="F368" s="630" t="s">
        <v>132</v>
      </c>
      <c r="G368" s="630">
        <v>14</v>
      </c>
      <c r="H368" s="630">
        <v>5</v>
      </c>
      <c r="I368" s="630">
        <v>29</v>
      </c>
      <c r="J368" s="630">
        <v>1</v>
      </c>
      <c r="K368" s="630">
        <v>49</v>
      </c>
      <c r="L368" s="630">
        <v>43.5</v>
      </c>
      <c r="M368" s="642">
        <v>43.5</v>
      </c>
    </row>
    <row r="369" spans="1:13" ht="15" customHeight="1">
      <c r="A369" s="639">
        <v>11230</v>
      </c>
      <c r="B369" s="627" t="s">
        <v>262</v>
      </c>
      <c r="C369" s="627" t="s">
        <v>231</v>
      </c>
      <c r="D369" s="627" t="s">
        <v>39</v>
      </c>
      <c r="E369" s="628">
        <v>1</v>
      </c>
      <c r="F369" s="628" t="s">
        <v>109</v>
      </c>
      <c r="G369" s="628">
        <v>0</v>
      </c>
      <c r="H369" s="628">
        <v>9</v>
      </c>
      <c r="I369" s="628">
        <v>18</v>
      </c>
      <c r="J369" s="628">
        <v>2</v>
      </c>
      <c r="K369" s="628">
        <v>29</v>
      </c>
      <c r="L369" s="628">
        <v>19</v>
      </c>
      <c r="M369" s="640">
        <v>19</v>
      </c>
    </row>
    <row r="370" spans="1:13" ht="15" customHeight="1">
      <c r="A370" s="641">
        <v>11230</v>
      </c>
      <c r="B370" s="629" t="s">
        <v>262</v>
      </c>
      <c r="C370" s="629" t="s">
        <v>264</v>
      </c>
      <c r="D370" s="629" t="s">
        <v>265</v>
      </c>
      <c r="E370" s="630">
        <v>1.2</v>
      </c>
      <c r="F370" s="630" t="s">
        <v>132</v>
      </c>
      <c r="G370" s="630">
        <v>101</v>
      </c>
      <c r="H370" s="630">
        <v>9</v>
      </c>
      <c r="I370" s="630">
        <v>126</v>
      </c>
      <c r="J370" s="630">
        <v>5</v>
      </c>
      <c r="K370" s="630">
        <v>241</v>
      </c>
      <c r="L370" s="630">
        <v>229.5</v>
      </c>
      <c r="M370" s="642">
        <v>275.4</v>
      </c>
    </row>
    <row r="371" spans="1:13" ht="15" customHeight="1">
      <c r="A371" s="639">
        <v>11230</v>
      </c>
      <c r="B371" s="627" t="s">
        <v>262</v>
      </c>
      <c r="C371" s="627" t="s">
        <v>264</v>
      </c>
      <c r="D371" s="627" t="s">
        <v>265</v>
      </c>
      <c r="E371" s="628">
        <v>1.2</v>
      </c>
      <c r="F371" s="628" t="s">
        <v>109</v>
      </c>
      <c r="G371" s="628">
        <v>0</v>
      </c>
      <c r="H371" s="628">
        <v>55</v>
      </c>
      <c r="I371" s="628">
        <v>386</v>
      </c>
      <c r="J371" s="628">
        <v>7</v>
      </c>
      <c r="K371" s="628">
        <v>448</v>
      </c>
      <c r="L371" s="628">
        <v>389.5</v>
      </c>
      <c r="M371" s="640">
        <v>467.4</v>
      </c>
    </row>
    <row r="372" spans="1:13" ht="15" customHeight="1">
      <c r="A372" s="641">
        <v>11230</v>
      </c>
      <c r="B372" s="629" t="s">
        <v>262</v>
      </c>
      <c r="C372" s="629" t="s">
        <v>48</v>
      </c>
      <c r="D372" s="629" t="s">
        <v>47</v>
      </c>
      <c r="E372" s="630">
        <v>1</v>
      </c>
      <c r="F372" s="630" t="s">
        <v>116</v>
      </c>
      <c r="G372" s="630">
        <v>0</v>
      </c>
      <c r="H372" s="630">
        <v>2</v>
      </c>
      <c r="I372" s="630">
        <v>49</v>
      </c>
      <c r="J372" s="630">
        <v>0</v>
      </c>
      <c r="K372" s="630">
        <v>51</v>
      </c>
      <c r="L372" s="630">
        <v>49</v>
      </c>
      <c r="M372" s="642">
        <v>49</v>
      </c>
    </row>
    <row r="373" spans="1:13" ht="15" customHeight="1">
      <c r="A373" s="639">
        <v>11230</v>
      </c>
      <c r="B373" s="627" t="s">
        <v>262</v>
      </c>
      <c r="C373" s="627" t="s">
        <v>48</v>
      </c>
      <c r="D373" s="627" t="s">
        <v>47</v>
      </c>
      <c r="E373" s="628">
        <v>1</v>
      </c>
      <c r="F373" s="628" t="s">
        <v>114</v>
      </c>
      <c r="G373" s="628">
        <v>0</v>
      </c>
      <c r="H373" s="628">
        <v>20</v>
      </c>
      <c r="I373" s="628">
        <v>80</v>
      </c>
      <c r="J373" s="628">
        <v>2</v>
      </c>
      <c r="K373" s="628">
        <v>102</v>
      </c>
      <c r="L373" s="628">
        <v>81</v>
      </c>
      <c r="M373" s="640">
        <v>81</v>
      </c>
    </row>
    <row r="374" spans="1:13" ht="15" customHeight="1">
      <c r="A374" s="641">
        <v>11230</v>
      </c>
      <c r="B374" s="629" t="s">
        <v>262</v>
      </c>
      <c r="C374" s="629" t="s">
        <v>49</v>
      </c>
      <c r="D374" s="629" t="s">
        <v>50</v>
      </c>
      <c r="E374" s="630">
        <v>1</v>
      </c>
      <c r="F374" s="630" t="s">
        <v>116</v>
      </c>
      <c r="G374" s="630">
        <v>0</v>
      </c>
      <c r="H374" s="630">
        <v>2</v>
      </c>
      <c r="I374" s="630">
        <v>104</v>
      </c>
      <c r="J374" s="630">
        <v>1</v>
      </c>
      <c r="K374" s="630">
        <v>107</v>
      </c>
      <c r="L374" s="630">
        <v>104.5</v>
      </c>
      <c r="M374" s="642">
        <v>104.5</v>
      </c>
    </row>
    <row r="375" spans="1:13" ht="15" customHeight="1">
      <c r="A375" s="639">
        <v>11230</v>
      </c>
      <c r="B375" s="627" t="s">
        <v>262</v>
      </c>
      <c r="C375" s="627" t="s">
        <v>49</v>
      </c>
      <c r="D375" s="627" t="s">
        <v>50</v>
      </c>
      <c r="E375" s="628">
        <v>1</v>
      </c>
      <c r="F375" s="628" t="s">
        <v>114</v>
      </c>
      <c r="G375" s="628">
        <v>0</v>
      </c>
      <c r="H375" s="628">
        <v>35</v>
      </c>
      <c r="I375" s="628">
        <v>167</v>
      </c>
      <c r="J375" s="628">
        <v>5</v>
      </c>
      <c r="K375" s="628">
        <v>207</v>
      </c>
      <c r="L375" s="628">
        <v>169.5</v>
      </c>
      <c r="M375" s="640">
        <v>169.5</v>
      </c>
    </row>
    <row r="376" spans="1:13" ht="15" customHeight="1">
      <c r="A376" s="641">
        <v>11230</v>
      </c>
      <c r="B376" s="629" t="s">
        <v>262</v>
      </c>
      <c r="C376" s="629" t="s">
        <v>51</v>
      </c>
      <c r="D376" s="629" t="s">
        <v>52</v>
      </c>
      <c r="E376" s="630">
        <v>1</v>
      </c>
      <c r="F376" s="630" t="s">
        <v>116</v>
      </c>
      <c r="G376" s="630">
        <v>0</v>
      </c>
      <c r="H376" s="630">
        <v>2</v>
      </c>
      <c r="I376" s="630">
        <v>57</v>
      </c>
      <c r="J376" s="630">
        <v>0</v>
      </c>
      <c r="K376" s="630">
        <v>59</v>
      </c>
      <c r="L376" s="630">
        <v>57</v>
      </c>
      <c r="M376" s="642">
        <v>57</v>
      </c>
    </row>
    <row r="377" spans="1:13" ht="15" customHeight="1">
      <c r="A377" s="639">
        <v>11230</v>
      </c>
      <c r="B377" s="627" t="s">
        <v>262</v>
      </c>
      <c r="C377" s="627" t="s">
        <v>51</v>
      </c>
      <c r="D377" s="627" t="s">
        <v>52</v>
      </c>
      <c r="E377" s="628">
        <v>1</v>
      </c>
      <c r="F377" s="628" t="s">
        <v>114</v>
      </c>
      <c r="G377" s="628">
        <v>0</v>
      </c>
      <c r="H377" s="628">
        <v>15</v>
      </c>
      <c r="I377" s="628">
        <v>89</v>
      </c>
      <c r="J377" s="628">
        <v>0</v>
      </c>
      <c r="K377" s="628">
        <v>104</v>
      </c>
      <c r="L377" s="628">
        <v>89</v>
      </c>
      <c r="M377" s="640">
        <v>89</v>
      </c>
    </row>
    <row r="378" spans="1:13" ht="15" customHeight="1">
      <c r="A378" s="641">
        <v>11230</v>
      </c>
      <c r="B378" s="629" t="s">
        <v>262</v>
      </c>
      <c r="C378" s="629" t="s">
        <v>53</v>
      </c>
      <c r="D378" s="629" t="s">
        <v>54</v>
      </c>
      <c r="E378" s="630">
        <v>1</v>
      </c>
      <c r="F378" s="630" t="s">
        <v>116</v>
      </c>
      <c r="G378" s="630">
        <v>0</v>
      </c>
      <c r="H378" s="630">
        <v>2</v>
      </c>
      <c r="I378" s="630">
        <v>72</v>
      </c>
      <c r="J378" s="630">
        <v>0</v>
      </c>
      <c r="K378" s="630">
        <v>74</v>
      </c>
      <c r="L378" s="630">
        <v>72</v>
      </c>
      <c r="M378" s="642">
        <v>72</v>
      </c>
    </row>
    <row r="379" spans="1:13" ht="15" customHeight="1">
      <c r="A379" s="639">
        <v>11230</v>
      </c>
      <c r="B379" s="627" t="s">
        <v>262</v>
      </c>
      <c r="C379" s="627" t="s">
        <v>53</v>
      </c>
      <c r="D379" s="627" t="s">
        <v>54</v>
      </c>
      <c r="E379" s="628">
        <v>1</v>
      </c>
      <c r="F379" s="628" t="s">
        <v>114</v>
      </c>
      <c r="G379" s="628">
        <v>0</v>
      </c>
      <c r="H379" s="628">
        <v>18</v>
      </c>
      <c r="I379" s="628">
        <v>87</v>
      </c>
      <c r="J379" s="628">
        <v>2</v>
      </c>
      <c r="K379" s="628">
        <v>107</v>
      </c>
      <c r="L379" s="628">
        <v>88</v>
      </c>
      <c r="M379" s="640">
        <v>88</v>
      </c>
    </row>
    <row r="380" spans="1:13" ht="15" customHeight="1">
      <c r="A380" s="641">
        <v>11230</v>
      </c>
      <c r="B380" s="629" t="s">
        <v>262</v>
      </c>
      <c r="C380" s="629" t="s">
        <v>266</v>
      </c>
      <c r="D380" s="629" t="s">
        <v>265</v>
      </c>
      <c r="E380" s="630">
        <v>1.2</v>
      </c>
      <c r="F380" s="630" t="s">
        <v>116</v>
      </c>
      <c r="G380" s="630">
        <v>0</v>
      </c>
      <c r="H380" s="630">
        <v>7</v>
      </c>
      <c r="I380" s="630">
        <v>250</v>
      </c>
      <c r="J380" s="630">
        <v>1</v>
      </c>
      <c r="K380" s="630">
        <v>258</v>
      </c>
      <c r="L380" s="630">
        <v>250.5</v>
      </c>
      <c r="M380" s="642">
        <v>300.6</v>
      </c>
    </row>
    <row r="381" spans="1:13" ht="15" customHeight="1">
      <c r="A381" s="639">
        <v>11230</v>
      </c>
      <c r="B381" s="627" t="s">
        <v>262</v>
      </c>
      <c r="C381" s="627" t="s">
        <v>266</v>
      </c>
      <c r="D381" s="627" t="s">
        <v>265</v>
      </c>
      <c r="E381" s="628">
        <v>1.2</v>
      </c>
      <c r="F381" s="628" t="s">
        <v>114</v>
      </c>
      <c r="G381" s="628">
        <v>0</v>
      </c>
      <c r="H381" s="628">
        <v>45</v>
      </c>
      <c r="I381" s="628">
        <v>328</v>
      </c>
      <c r="J381" s="628">
        <v>3</v>
      </c>
      <c r="K381" s="628">
        <v>376</v>
      </c>
      <c r="L381" s="628">
        <v>329.5</v>
      </c>
      <c r="M381" s="640">
        <v>395.4</v>
      </c>
    </row>
    <row r="382" spans="1:13" ht="15" customHeight="1">
      <c r="A382" s="641">
        <v>11230</v>
      </c>
      <c r="B382" s="629" t="s">
        <v>262</v>
      </c>
      <c r="C382" s="629" t="s">
        <v>55</v>
      </c>
      <c r="D382" s="629" t="s">
        <v>47</v>
      </c>
      <c r="E382" s="630">
        <v>1</v>
      </c>
      <c r="F382" s="630" t="s">
        <v>119</v>
      </c>
      <c r="G382" s="630">
        <v>0</v>
      </c>
      <c r="H382" s="630">
        <v>0</v>
      </c>
      <c r="I382" s="630">
        <v>6</v>
      </c>
      <c r="J382" s="630">
        <v>0</v>
      </c>
      <c r="K382" s="630">
        <v>6</v>
      </c>
      <c r="L382" s="630">
        <v>6</v>
      </c>
      <c r="M382" s="642">
        <v>6</v>
      </c>
    </row>
    <row r="383" spans="1:13" ht="15" customHeight="1">
      <c r="A383" s="639">
        <v>11230</v>
      </c>
      <c r="B383" s="627" t="s">
        <v>262</v>
      </c>
      <c r="C383" s="627" t="s">
        <v>55</v>
      </c>
      <c r="D383" s="627" t="s">
        <v>47</v>
      </c>
      <c r="E383" s="628">
        <v>1</v>
      </c>
      <c r="F383" s="628" t="s">
        <v>122</v>
      </c>
      <c r="G383" s="628">
        <v>0</v>
      </c>
      <c r="H383" s="628">
        <v>19</v>
      </c>
      <c r="I383" s="628">
        <v>32</v>
      </c>
      <c r="J383" s="628">
        <v>2</v>
      </c>
      <c r="K383" s="628">
        <v>53</v>
      </c>
      <c r="L383" s="628">
        <v>33</v>
      </c>
      <c r="M383" s="640">
        <v>33</v>
      </c>
    </row>
    <row r="384" spans="1:13" ht="15" customHeight="1">
      <c r="A384" s="615">
        <v>11620</v>
      </c>
      <c r="B384" s="620" t="s">
        <v>262</v>
      </c>
      <c r="C384" s="620" t="s">
        <v>267</v>
      </c>
      <c r="D384" s="620" t="s">
        <v>268</v>
      </c>
      <c r="E384" s="619">
        <v>1</v>
      </c>
      <c r="F384" s="619" t="s">
        <v>119</v>
      </c>
      <c r="G384" s="619">
        <v>0</v>
      </c>
      <c r="H384" s="619">
        <v>1</v>
      </c>
      <c r="I384" s="619">
        <v>18</v>
      </c>
      <c r="J384" s="619">
        <v>0</v>
      </c>
      <c r="K384" s="619">
        <v>19</v>
      </c>
      <c r="L384" s="619">
        <v>18</v>
      </c>
      <c r="M384" s="617">
        <v>18</v>
      </c>
    </row>
    <row r="385" spans="1:13" ht="15" customHeight="1">
      <c r="A385" s="615">
        <v>11620</v>
      </c>
      <c r="B385" s="620" t="s">
        <v>262</v>
      </c>
      <c r="C385" s="620" t="s">
        <v>267</v>
      </c>
      <c r="D385" s="620" t="s">
        <v>268</v>
      </c>
      <c r="E385" s="619">
        <v>1</v>
      </c>
      <c r="F385" s="619" t="s">
        <v>122</v>
      </c>
      <c r="G385" s="619">
        <v>0</v>
      </c>
      <c r="H385" s="619">
        <v>28</v>
      </c>
      <c r="I385" s="619">
        <v>49</v>
      </c>
      <c r="J385" s="619">
        <v>0</v>
      </c>
      <c r="K385" s="619">
        <v>77</v>
      </c>
      <c r="L385" s="619">
        <v>49</v>
      </c>
      <c r="M385" s="617">
        <v>49</v>
      </c>
    </row>
    <row r="386" spans="1:13" ht="15" customHeight="1">
      <c r="A386" s="641">
        <v>11230</v>
      </c>
      <c r="B386" s="629" t="s">
        <v>262</v>
      </c>
      <c r="C386" s="629" t="s">
        <v>56</v>
      </c>
      <c r="D386" s="629" t="s">
        <v>50</v>
      </c>
      <c r="E386" s="630">
        <v>1</v>
      </c>
      <c r="F386" s="630" t="s">
        <v>119</v>
      </c>
      <c r="G386" s="630">
        <v>0</v>
      </c>
      <c r="H386" s="630">
        <v>0</v>
      </c>
      <c r="I386" s="630">
        <v>8</v>
      </c>
      <c r="J386" s="630">
        <v>0</v>
      </c>
      <c r="K386" s="630">
        <v>8</v>
      </c>
      <c r="L386" s="630">
        <v>8</v>
      </c>
      <c r="M386" s="642">
        <v>8</v>
      </c>
    </row>
    <row r="387" spans="1:13" ht="15" customHeight="1">
      <c r="A387" s="639">
        <v>11230</v>
      </c>
      <c r="B387" s="627" t="s">
        <v>262</v>
      </c>
      <c r="C387" s="627" t="s">
        <v>56</v>
      </c>
      <c r="D387" s="627" t="s">
        <v>50</v>
      </c>
      <c r="E387" s="628">
        <v>1</v>
      </c>
      <c r="F387" s="628" t="s">
        <v>122</v>
      </c>
      <c r="G387" s="628">
        <v>0</v>
      </c>
      <c r="H387" s="628">
        <v>9</v>
      </c>
      <c r="I387" s="628">
        <v>24</v>
      </c>
      <c r="J387" s="628">
        <v>0</v>
      </c>
      <c r="K387" s="628">
        <v>33</v>
      </c>
      <c r="L387" s="628">
        <v>24</v>
      </c>
      <c r="M387" s="640">
        <v>24</v>
      </c>
    </row>
    <row r="388" spans="1:13" ht="15" customHeight="1">
      <c r="A388" s="641">
        <v>11230</v>
      </c>
      <c r="B388" s="629" t="s">
        <v>262</v>
      </c>
      <c r="C388" s="629" t="s">
        <v>269</v>
      </c>
      <c r="D388" s="629" t="s">
        <v>52</v>
      </c>
      <c r="E388" s="630">
        <v>1</v>
      </c>
      <c r="F388" s="630" t="s">
        <v>119</v>
      </c>
      <c r="G388" s="630">
        <v>0</v>
      </c>
      <c r="H388" s="630">
        <v>0</v>
      </c>
      <c r="I388" s="630">
        <v>7</v>
      </c>
      <c r="J388" s="630">
        <v>0</v>
      </c>
      <c r="K388" s="630">
        <v>7</v>
      </c>
      <c r="L388" s="630">
        <v>7</v>
      </c>
      <c r="M388" s="642">
        <v>7</v>
      </c>
    </row>
    <row r="389" spans="1:13" ht="15" customHeight="1">
      <c r="A389" s="639">
        <v>11230</v>
      </c>
      <c r="B389" s="627" t="s">
        <v>262</v>
      </c>
      <c r="C389" s="627" t="s">
        <v>269</v>
      </c>
      <c r="D389" s="627" t="s">
        <v>52</v>
      </c>
      <c r="E389" s="628">
        <v>1</v>
      </c>
      <c r="F389" s="628" t="s">
        <v>122</v>
      </c>
      <c r="G389" s="628">
        <v>0</v>
      </c>
      <c r="H389" s="628">
        <v>12</v>
      </c>
      <c r="I389" s="628">
        <v>28</v>
      </c>
      <c r="J389" s="628">
        <v>1</v>
      </c>
      <c r="K389" s="628">
        <v>41</v>
      </c>
      <c r="L389" s="628">
        <v>28.5</v>
      </c>
      <c r="M389" s="640">
        <v>28.5</v>
      </c>
    </row>
    <row r="390" spans="1:13" ht="15" customHeight="1">
      <c r="A390" s="641">
        <v>11230</v>
      </c>
      <c r="B390" s="629" t="s">
        <v>262</v>
      </c>
      <c r="C390" s="629" t="s">
        <v>57</v>
      </c>
      <c r="D390" s="629" t="s">
        <v>54</v>
      </c>
      <c r="E390" s="630">
        <v>1</v>
      </c>
      <c r="F390" s="630" t="s">
        <v>119</v>
      </c>
      <c r="G390" s="630">
        <v>0</v>
      </c>
      <c r="H390" s="630">
        <v>1</v>
      </c>
      <c r="I390" s="630">
        <v>10</v>
      </c>
      <c r="J390" s="630">
        <v>0</v>
      </c>
      <c r="K390" s="630">
        <v>11</v>
      </c>
      <c r="L390" s="630">
        <v>10</v>
      </c>
      <c r="M390" s="642">
        <v>10</v>
      </c>
    </row>
    <row r="391" spans="1:13" ht="15" customHeight="1">
      <c r="A391" s="639">
        <v>11230</v>
      </c>
      <c r="B391" s="627" t="s">
        <v>262</v>
      </c>
      <c r="C391" s="627" t="s">
        <v>57</v>
      </c>
      <c r="D391" s="627" t="s">
        <v>54</v>
      </c>
      <c r="E391" s="628">
        <v>1</v>
      </c>
      <c r="F391" s="628" t="s">
        <v>122</v>
      </c>
      <c r="G391" s="628">
        <v>0</v>
      </c>
      <c r="H391" s="628">
        <v>22</v>
      </c>
      <c r="I391" s="628">
        <v>40</v>
      </c>
      <c r="J391" s="628">
        <v>1</v>
      </c>
      <c r="K391" s="628">
        <v>63</v>
      </c>
      <c r="L391" s="628">
        <v>40.5</v>
      </c>
      <c r="M391" s="640">
        <v>40.5</v>
      </c>
    </row>
    <row r="392" spans="1:13" ht="15" customHeight="1">
      <c r="A392" s="641">
        <v>11230</v>
      </c>
      <c r="B392" s="629" t="s">
        <v>262</v>
      </c>
      <c r="C392" s="629" t="s">
        <v>255</v>
      </c>
      <c r="D392" s="629" t="s">
        <v>39</v>
      </c>
      <c r="E392" s="630">
        <v>1</v>
      </c>
      <c r="F392" s="630" t="s">
        <v>119</v>
      </c>
      <c r="G392" s="630">
        <v>0</v>
      </c>
      <c r="H392" s="630">
        <v>0</v>
      </c>
      <c r="I392" s="630">
        <v>6</v>
      </c>
      <c r="J392" s="630">
        <v>0</v>
      </c>
      <c r="K392" s="630">
        <v>6</v>
      </c>
      <c r="L392" s="630">
        <v>6</v>
      </c>
      <c r="M392" s="642">
        <v>6</v>
      </c>
    </row>
    <row r="393" spans="1:13" ht="15" customHeight="1">
      <c r="A393" s="639">
        <v>11230</v>
      </c>
      <c r="B393" s="627" t="s">
        <v>262</v>
      </c>
      <c r="C393" s="627" t="s">
        <v>255</v>
      </c>
      <c r="D393" s="627" t="s">
        <v>39</v>
      </c>
      <c r="E393" s="628">
        <v>1</v>
      </c>
      <c r="F393" s="628" t="s">
        <v>122</v>
      </c>
      <c r="G393" s="628">
        <v>0</v>
      </c>
      <c r="H393" s="628">
        <v>14</v>
      </c>
      <c r="I393" s="628">
        <v>16</v>
      </c>
      <c r="J393" s="628">
        <v>0</v>
      </c>
      <c r="K393" s="628">
        <v>30</v>
      </c>
      <c r="L393" s="628">
        <v>16</v>
      </c>
      <c r="M393" s="640">
        <v>16</v>
      </c>
    </row>
    <row r="394" spans="1:13" ht="15" customHeight="1">
      <c r="A394" s="641">
        <v>11230</v>
      </c>
      <c r="B394" s="629" t="s">
        <v>262</v>
      </c>
      <c r="C394" s="629" t="s">
        <v>270</v>
      </c>
      <c r="D394" s="629" t="s">
        <v>265</v>
      </c>
      <c r="E394" s="630">
        <v>1.2</v>
      </c>
      <c r="F394" s="630" t="s">
        <v>119</v>
      </c>
      <c r="G394" s="630">
        <v>0</v>
      </c>
      <c r="H394" s="630">
        <v>0</v>
      </c>
      <c r="I394" s="630">
        <v>6</v>
      </c>
      <c r="J394" s="630">
        <v>0</v>
      </c>
      <c r="K394" s="630">
        <v>6</v>
      </c>
      <c r="L394" s="630">
        <v>6</v>
      </c>
      <c r="M394" s="642">
        <v>7.2</v>
      </c>
    </row>
    <row r="395" spans="1:13" ht="15" customHeight="1">
      <c r="A395" s="639">
        <v>11230</v>
      </c>
      <c r="B395" s="627" t="s">
        <v>262</v>
      </c>
      <c r="C395" s="627" t="s">
        <v>270</v>
      </c>
      <c r="D395" s="627" t="s">
        <v>265</v>
      </c>
      <c r="E395" s="628">
        <v>1.2</v>
      </c>
      <c r="F395" s="628" t="s">
        <v>122</v>
      </c>
      <c r="G395" s="628">
        <v>0</v>
      </c>
      <c r="H395" s="628">
        <v>6</v>
      </c>
      <c r="I395" s="628">
        <v>33</v>
      </c>
      <c r="J395" s="628">
        <v>0</v>
      </c>
      <c r="K395" s="628">
        <v>39</v>
      </c>
      <c r="L395" s="628">
        <v>33</v>
      </c>
      <c r="M395" s="640">
        <v>39.6</v>
      </c>
    </row>
    <row r="396" spans="1:13" ht="15" customHeight="1">
      <c r="A396" s="643">
        <v>11230</v>
      </c>
      <c r="B396" s="631" t="s">
        <v>163</v>
      </c>
      <c r="C396" s="631"/>
      <c r="D396" s="631"/>
      <c r="E396" s="631"/>
      <c r="F396" s="632" t="s">
        <v>132</v>
      </c>
      <c r="G396" s="632">
        <v>535</v>
      </c>
      <c r="H396" s="632">
        <v>21</v>
      </c>
      <c r="I396" s="632">
        <v>336</v>
      </c>
      <c r="J396" s="632">
        <v>8</v>
      </c>
      <c r="K396" s="632">
        <v>900</v>
      </c>
      <c r="L396" s="632"/>
      <c r="M396" s="644"/>
    </row>
    <row r="397" spans="1:13" ht="15" customHeight="1">
      <c r="A397" s="643">
        <v>11230</v>
      </c>
      <c r="B397" s="631" t="s">
        <v>163</v>
      </c>
      <c r="C397" s="631"/>
      <c r="D397" s="631"/>
      <c r="E397" s="631"/>
      <c r="F397" s="632" t="s">
        <v>109</v>
      </c>
      <c r="G397" s="632">
        <v>0</v>
      </c>
      <c r="H397" s="632">
        <v>171</v>
      </c>
      <c r="I397" s="632">
        <v>1289</v>
      </c>
      <c r="J397" s="632">
        <v>19</v>
      </c>
      <c r="K397" s="632">
        <v>1479</v>
      </c>
      <c r="L397" s="632"/>
      <c r="M397" s="644"/>
    </row>
    <row r="398" spans="1:13" ht="15" customHeight="1">
      <c r="A398" s="643">
        <v>11230</v>
      </c>
      <c r="B398" s="631" t="s">
        <v>163</v>
      </c>
      <c r="C398" s="631"/>
      <c r="D398" s="631"/>
      <c r="E398" s="631"/>
      <c r="F398" s="632" t="s">
        <v>110</v>
      </c>
      <c r="G398" s="632">
        <v>0</v>
      </c>
      <c r="H398" s="632">
        <v>0</v>
      </c>
      <c r="I398" s="632">
        <v>0</v>
      </c>
      <c r="J398" s="632">
        <v>0</v>
      </c>
      <c r="K398" s="632">
        <v>0</v>
      </c>
      <c r="L398" s="632"/>
      <c r="M398" s="644"/>
    </row>
    <row r="399" spans="1:13" ht="15" customHeight="1">
      <c r="A399" s="643">
        <v>11230</v>
      </c>
      <c r="B399" s="631" t="s">
        <v>163</v>
      </c>
      <c r="C399" s="631"/>
      <c r="D399" s="631"/>
      <c r="E399" s="631"/>
      <c r="F399" s="632" t="s">
        <v>113</v>
      </c>
      <c r="G399" s="632">
        <v>0</v>
      </c>
      <c r="H399" s="632">
        <v>0</v>
      </c>
      <c r="I399" s="632">
        <v>0</v>
      </c>
      <c r="J399" s="632">
        <v>0</v>
      </c>
      <c r="K399" s="632">
        <v>0</v>
      </c>
      <c r="L399" s="632"/>
      <c r="M399" s="644"/>
    </row>
    <row r="400" spans="1:13" ht="15" customHeight="1">
      <c r="A400" s="643">
        <v>11230</v>
      </c>
      <c r="B400" s="631" t="s">
        <v>163</v>
      </c>
      <c r="C400" s="631"/>
      <c r="D400" s="631"/>
      <c r="E400" s="631"/>
      <c r="F400" s="632" t="s">
        <v>116</v>
      </c>
      <c r="G400" s="632">
        <v>0</v>
      </c>
      <c r="H400" s="632">
        <v>15</v>
      </c>
      <c r="I400" s="632">
        <v>532</v>
      </c>
      <c r="J400" s="632">
        <v>2</v>
      </c>
      <c r="K400" s="632">
        <v>549</v>
      </c>
      <c r="L400" s="632"/>
      <c r="M400" s="644"/>
    </row>
    <row r="401" spans="1:13" ht="15" customHeight="1">
      <c r="A401" s="643">
        <v>11230</v>
      </c>
      <c r="B401" s="631" t="s">
        <v>163</v>
      </c>
      <c r="C401" s="631"/>
      <c r="D401" s="631"/>
      <c r="E401" s="631"/>
      <c r="F401" s="632" t="s">
        <v>114</v>
      </c>
      <c r="G401" s="632">
        <v>0</v>
      </c>
      <c r="H401" s="632">
        <v>133</v>
      </c>
      <c r="I401" s="632">
        <v>751</v>
      </c>
      <c r="J401" s="632">
        <v>12</v>
      </c>
      <c r="K401" s="632">
        <v>896</v>
      </c>
      <c r="L401" s="632"/>
      <c r="M401" s="644"/>
    </row>
    <row r="402" spans="1:13" ht="15" customHeight="1">
      <c r="A402" s="643">
        <v>11230</v>
      </c>
      <c r="B402" s="631" t="s">
        <v>163</v>
      </c>
      <c r="C402" s="631"/>
      <c r="D402" s="631"/>
      <c r="E402" s="631"/>
      <c r="F402" s="632" t="s">
        <v>119</v>
      </c>
      <c r="G402" s="632">
        <v>0</v>
      </c>
      <c r="H402" s="632">
        <v>2</v>
      </c>
      <c r="I402" s="632">
        <v>61</v>
      </c>
      <c r="J402" s="632">
        <v>0</v>
      </c>
      <c r="K402" s="632">
        <v>63</v>
      </c>
      <c r="L402" s="632"/>
      <c r="M402" s="644"/>
    </row>
    <row r="403" spans="1:13" ht="15" customHeight="1">
      <c r="A403" s="643">
        <v>11230</v>
      </c>
      <c r="B403" s="631" t="s">
        <v>163</v>
      </c>
      <c r="C403" s="631"/>
      <c r="D403" s="631"/>
      <c r="E403" s="631"/>
      <c r="F403" s="632" t="s">
        <v>122</v>
      </c>
      <c r="G403" s="632">
        <v>0</v>
      </c>
      <c r="H403" s="632">
        <v>110</v>
      </c>
      <c r="I403" s="632">
        <v>222</v>
      </c>
      <c r="J403" s="632">
        <v>4</v>
      </c>
      <c r="K403" s="632">
        <v>336</v>
      </c>
      <c r="L403" s="632"/>
      <c r="M403" s="644"/>
    </row>
    <row r="404" spans="1:13" ht="15" customHeight="1">
      <c r="A404" s="641">
        <v>11240</v>
      </c>
      <c r="B404" s="629" t="s">
        <v>271</v>
      </c>
      <c r="C404" s="629" t="s">
        <v>59</v>
      </c>
      <c r="D404" s="629" t="s">
        <v>60</v>
      </c>
      <c r="E404" s="630">
        <v>1</v>
      </c>
      <c r="F404" s="630" t="s">
        <v>132</v>
      </c>
      <c r="G404" s="630">
        <v>539</v>
      </c>
      <c r="H404" s="630">
        <v>25</v>
      </c>
      <c r="I404" s="630">
        <v>223</v>
      </c>
      <c r="J404" s="630">
        <v>6</v>
      </c>
      <c r="K404" s="630">
        <v>793</v>
      </c>
      <c r="L404" s="630">
        <v>765</v>
      </c>
      <c r="M404" s="642">
        <v>765</v>
      </c>
    </row>
    <row r="405" spans="1:13" ht="15" customHeight="1">
      <c r="A405" s="639">
        <v>11240</v>
      </c>
      <c r="B405" s="627" t="s">
        <v>271</v>
      </c>
      <c r="C405" s="627" t="s">
        <v>59</v>
      </c>
      <c r="D405" s="627" t="s">
        <v>60</v>
      </c>
      <c r="E405" s="628">
        <v>1</v>
      </c>
      <c r="F405" s="628" t="s">
        <v>109</v>
      </c>
      <c r="G405" s="628">
        <v>0</v>
      </c>
      <c r="H405" s="628">
        <v>135</v>
      </c>
      <c r="I405" s="628">
        <v>745</v>
      </c>
      <c r="J405" s="628">
        <v>30</v>
      </c>
      <c r="K405" s="628">
        <v>910</v>
      </c>
      <c r="L405" s="628">
        <v>760</v>
      </c>
      <c r="M405" s="640">
        <v>760</v>
      </c>
    </row>
    <row r="406" spans="1:13" ht="15" customHeight="1">
      <c r="A406" s="641">
        <v>11240</v>
      </c>
      <c r="B406" s="629" t="s">
        <v>271</v>
      </c>
      <c r="C406" s="629" t="s">
        <v>272</v>
      </c>
      <c r="D406" s="629" t="s">
        <v>273</v>
      </c>
      <c r="E406" s="630">
        <v>1.65</v>
      </c>
      <c r="F406" s="630" t="s">
        <v>116</v>
      </c>
      <c r="G406" s="630">
        <v>0</v>
      </c>
      <c r="H406" s="630">
        <v>1</v>
      </c>
      <c r="I406" s="630">
        <v>22</v>
      </c>
      <c r="J406" s="630">
        <v>1</v>
      </c>
      <c r="K406" s="630">
        <v>24</v>
      </c>
      <c r="L406" s="630">
        <v>22.5</v>
      </c>
      <c r="M406" s="642">
        <v>37.13</v>
      </c>
    </row>
    <row r="407" spans="1:13" ht="15" customHeight="1">
      <c r="A407" s="639">
        <v>11240</v>
      </c>
      <c r="B407" s="627" t="s">
        <v>271</v>
      </c>
      <c r="C407" s="627" t="s">
        <v>272</v>
      </c>
      <c r="D407" s="627" t="s">
        <v>273</v>
      </c>
      <c r="E407" s="628">
        <v>1.65</v>
      </c>
      <c r="F407" s="628" t="s">
        <v>114</v>
      </c>
      <c r="G407" s="628">
        <v>0</v>
      </c>
      <c r="H407" s="628">
        <v>3</v>
      </c>
      <c r="I407" s="628">
        <v>39</v>
      </c>
      <c r="J407" s="628">
        <v>2</v>
      </c>
      <c r="K407" s="628">
        <v>44</v>
      </c>
      <c r="L407" s="628">
        <v>40</v>
      </c>
      <c r="M407" s="640">
        <v>66</v>
      </c>
    </row>
    <row r="408" spans="1:13" ht="15" customHeight="1">
      <c r="A408" s="641">
        <v>11240</v>
      </c>
      <c r="B408" s="629" t="s">
        <v>271</v>
      </c>
      <c r="C408" s="629" t="s">
        <v>61</v>
      </c>
      <c r="D408" s="629" t="s">
        <v>62</v>
      </c>
      <c r="E408" s="630">
        <v>1</v>
      </c>
      <c r="F408" s="630" t="s">
        <v>116</v>
      </c>
      <c r="G408" s="630">
        <v>0</v>
      </c>
      <c r="H408" s="630">
        <v>0</v>
      </c>
      <c r="I408" s="630">
        <v>2</v>
      </c>
      <c r="J408" s="630">
        <v>0</v>
      </c>
      <c r="K408" s="630">
        <v>2</v>
      </c>
      <c r="L408" s="630">
        <v>2</v>
      </c>
      <c r="M408" s="642">
        <v>2</v>
      </c>
    </row>
    <row r="409" spans="1:13" ht="15" customHeight="1">
      <c r="A409" s="639">
        <v>11240</v>
      </c>
      <c r="B409" s="627" t="s">
        <v>271</v>
      </c>
      <c r="C409" s="627" t="s">
        <v>61</v>
      </c>
      <c r="D409" s="627" t="s">
        <v>62</v>
      </c>
      <c r="E409" s="628">
        <v>1</v>
      </c>
      <c r="F409" s="628" t="s">
        <v>114</v>
      </c>
      <c r="G409" s="628">
        <v>0</v>
      </c>
      <c r="H409" s="628">
        <v>0</v>
      </c>
      <c r="I409" s="628">
        <v>3</v>
      </c>
      <c r="J409" s="628">
        <v>0</v>
      </c>
      <c r="K409" s="628">
        <v>3</v>
      </c>
      <c r="L409" s="628">
        <v>3</v>
      </c>
      <c r="M409" s="640">
        <v>3</v>
      </c>
    </row>
    <row r="410" spans="1:13" ht="15" customHeight="1">
      <c r="A410" s="641">
        <v>11240</v>
      </c>
      <c r="B410" s="629" t="s">
        <v>271</v>
      </c>
      <c r="C410" s="629" t="s">
        <v>63</v>
      </c>
      <c r="D410" s="629" t="s">
        <v>60</v>
      </c>
      <c r="E410" s="630">
        <v>1</v>
      </c>
      <c r="F410" s="630" t="s">
        <v>116</v>
      </c>
      <c r="G410" s="630">
        <v>0</v>
      </c>
      <c r="H410" s="630">
        <v>4</v>
      </c>
      <c r="I410" s="630">
        <v>132</v>
      </c>
      <c r="J410" s="630">
        <v>1</v>
      </c>
      <c r="K410" s="630">
        <v>137</v>
      </c>
      <c r="L410" s="630">
        <v>132.5</v>
      </c>
      <c r="M410" s="642">
        <v>132.5</v>
      </c>
    </row>
    <row r="411" spans="1:13" ht="15" customHeight="1">
      <c r="A411" s="639">
        <v>11240</v>
      </c>
      <c r="B411" s="627" t="s">
        <v>271</v>
      </c>
      <c r="C411" s="627" t="s">
        <v>63</v>
      </c>
      <c r="D411" s="627" t="s">
        <v>60</v>
      </c>
      <c r="E411" s="628">
        <v>1</v>
      </c>
      <c r="F411" s="628" t="s">
        <v>114</v>
      </c>
      <c r="G411" s="628">
        <v>0</v>
      </c>
      <c r="H411" s="628">
        <v>57</v>
      </c>
      <c r="I411" s="628">
        <v>159</v>
      </c>
      <c r="J411" s="628">
        <v>9</v>
      </c>
      <c r="K411" s="628">
        <v>225</v>
      </c>
      <c r="L411" s="628">
        <v>163.5</v>
      </c>
      <c r="M411" s="640">
        <v>163.5</v>
      </c>
    </row>
    <row r="412" spans="1:13" ht="15" customHeight="1">
      <c r="A412" s="641">
        <v>11240</v>
      </c>
      <c r="B412" s="629" t="s">
        <v>271</v>
      </c>
      <c r="C412" s="629" t="s">
        <v>248</v>
      </c>
      <c r="D412" s="629" t="s">
        <v>230</v>
      </c>
      <c r="E412" s="630">
        <v>1</v>
      </c>
      <c r="F412" s="630" t="s">
        <v>116</v>
      </c>
      <c r="G412" s="630">
        <v>0</v>
      </c>
      <c r="H412" s="630">
        <v>3</v>
      </c>
      <c r="I412" s="630">
        <v>42</v>
      </c>
      <c r="J412" s="630">
        <v>1</v>
      </c>
      <c r="K412" s="630">
        <v>46</v>
      </c>
      <c r="L412" s="630">
        <v>42.5</v>
      </c>
      <c r="M412" s="642">
        <v>42.5</v>
      </c>
    </row>
    <row r="413" spans="1:13" ht="15" customHeight="1">
      <c r="A413" s="639">
        <v>11240</v>
      </c>
      <c r="B413" s="627" t="s">
        <v>271</v>
      </c>
      <c r="C413" s="627" t="s">
        <v>248</v>
      </c>
      <c r="D413" s="627" t="s">
        <v>230</v>
      </c>
      <c r="E413" s="628">
        <v>1</v>
      </c>
      <c r="F413" s="628" t="s">
        <v>114</v>
      </c>
      <c r="G413" s="628">
        <v>0</v>
      </c>
      <c r="H413" s="628">
        <v>9</v>
      </c>
      <c r="I413" s="628">
        <v>53</v>
      </c>
      <c r="J413" s="628">
        <v>1</v>
      </c>
      <c r="K413" s="628">
        <v>63</v>
      </c>
      <c r="L413" s="628">
        <v>53.5</v>
      </c>
      <c r="M413" s="640">
        <v>53.5</v>
      </c>
    </row>
    <row r="414" spans="1:13" ht="15" customHeight="1">
      <c r="A414" s="641">
        <v>11240</v>
      </c>
      <c r="B414" s="629" t="s">
        <v>271</v>
      </c>
      <c r="C414" s="629" t="s">
        <v>38</v>
      </c>
      <c r="D414" s="629" t="s">
        <v>39</v>
      </c>
      <c r="E414" s="630">
        <v>1</v>
      </c>
      <c r="F414" s="630" t="s">
        <v>116</v>
      </c>
      <c r="G414" s="630">
        <v>0</v>
      </c>
      <c r="H414" s="630">
        <v>1</v>
      </c>
      <c r="I414" s="630">
        <v>40</v>
      </c>
      <c r="J414" s="630">
        <v>0</v>
      </c>
      <c r="K414" s="630">
        <v>41</v>
      </c>
      <c r="L414" s="630">
        <v>40</v>
      </c>
      <c r="M414" s="642">
        <v>40</v>
      </c>
    </row>
    <row r="415" spans="1:13" ht="15" customHeight="1">
      <c r="A415" s="639">
        <v>11240</v>
      </c>
      <c r="B415" s="627" t="s">
        <v>271</v>
      </c>
      <c r="C415" s="627" t="s">
        <v>38</v>
      </c>
      <c r="D415" s="627" t="s">
        <v>39</v>
      </c>
      <c r="E415" s="628">
        <v>1</v>
      </c>
      <c r="F415" s="628" t="s">
        <v>114</v>
      </c>
      <c r="G415" s="628">
        <v>0</v>
      </c>
      <c r="H415" s="628">
        <v>17</v>
      </c>
      <c r="I415" s="628">
        <v>34</v>
      </c>
      <c r="J415" s="628">
        <v>4</v>
      </c>
      <c r="K415" s="628">
        <v>55</v>
      </c>
      <c r="L415" s="628">
        <v>36</v>
      </c>
      <c r="M415" s="640">
        <v>36</v>
      </c>
    </row>
    <row r="416" spans="1:13" ht="15" customHeight="1">
      <c r="A416" s="641">
        <v>11240</v>
      </c>
      <c r="B416" s="629" t="s">
        <v>271</v>
      </c>
      <c r="C416" s="629" t="s">
        <v>266</v>
      </c>
      <c r="D416" s="629" t="s">
        <v>265</v>
      </c>
      <c r="E416" s="630">
        <v>1.2</v>
      </c>
      <c r="F416" s="630" t="s">
        <v>116</v>
      </c>
      <c r="G416" s="630">
        <v>0</v>
      </c>
      <c r="H416" s="630">
        <v>0</v>
      </c>
      <c r="I416" s="630">
        <v>29</v>
      </c>
      <c r="J416" s="630">
        <v>0</v>
      </c>
      <c r="K416" s="630">
        <v>29</v>
      </c>
      <c r="L416" s="630">
        <v>29</v>
      </c>
      <c r="M416" s="642">
        <v>34.8</v>
      </c>
    </row>
    <row r="417" spans="1:13" ht="15" customHeight="1">
      <c r="A417" s="639">
        <v>11240</v>
      </c>
      <c r="B417" s="627" t="s">
        <v>271</v>
      </c>
      <c r="C417" s="627" t="s">
        <v>266</v>
      </c>
      <c r="D417" s="627" t="s">
        <v>265</v>
      </c>
      <c r="E417" s="628">
        <v>1.2</v>
      </c>
      <c r="F417" s="628" t="s">
        <v>114</v>
      </c>
      <c r="G417" s="628">
        <v>0</v>
      </c>
      <c r="H417" s="628">
        <v>9</v>
      </c>
      <c r="I417" s="628">
        <v>32</v>
      </c>
      <c r="J417" s="628">
        <v>1</v>
      </c>
      <c r="K417" s="628">
        <v>42</v>
      </c>
      <c r="L417" s="628">
        <v>32.5</v>
      </c>
      <c r="M417" s="640">
        <v>39</v>
      </c>
    </row>
    <row r="418" spans="1:13" ht="15" customHeight="1">
      <c r="A418" s="641">
        <v>11240</v>
      </c>
      <c r="B418" s="629" t="s">
        <v>271</v>
      </c>
      <c r="C418" s="629" t="s">
        <v>166</v>
      </c>
      <c r="D418" s="629" t="s">
        <v>167</v>
      </c>
      <c r="E418" s="630">
        <v>1.65</v>
      </c>
      <c r="F418" s="630" t="s">
        <v>122</v>
      </c>
      <c r="G418" s="630">
        <v>0</v>
      </c>
      <c r="H418" s="630">
        <v>2</v>
      </c>
      <c r="I418" s="630">
        <v>0</v>
      </c>
      <c r="J418" s="630">
        <v>0</v>
      </c>
      <c r="K418" s="630">
        <v>2</v>
      </c>
      <c r="L418" s="630">
        <v>0</v>
      </c>
      <c r="M418" s="642">
        <v>0</v>
      </c>
    </row>
    <row r="419" spans="1:13" ht="15" customHeight="1">
      <c r="A419" s="639">
        <v>11240</v>
      </c>
      <c r="B419" s="627" t="s">
        <v>271</v>
      </c>
      <c r="C419" s="627" t="s">
        <v>64</v>
      </c>
      <c r="D419" s="627" t="s">
        <v>65</v>
      </c>
      <c r="E419" s="628">
        <v>1.65</v>
      </c>
      <c r="F419" s="628" t="s">
        <v>119</v>
      </c>
      <c r="G419" s="628">
        <v>0</v>
      </c>
      <c r="H419" s="628">
        <v>0</v>
      </c>
      <c r="I419" s="628">
        <v>2</v>
      </c>
      <c r="J419" s="628">
        <v>0</v>
      </c>
      <c r="K419" s="628">
        <v>2</v>
      </c>
      <c r="L419" s="628">
        <v>2</v>
      </c>
      <c r="M419" s="640">
        <v>3.3</v>
      </c>
    </row>
    <row r="420" spans="1:13" ht="15" customHeight="1">
      <c r="A420" s="641">
        <v>11240</v>
      </c>
      <c r="B420" s="629" t="s">
        <v>271</v>
      </c>
      <c r="C420" s="629" t="s">
        <v>64</v>
      </c>
      <c r="D420" s="629" t="s">
        <v>65</v>
      </c>
      <c r="E420" s="630">
        <v>1.65</v>
      </c>
      <c r="F420" s="630" t="s">
        <v>122</v>
      </c>
      <c r="G420" s="630">
        <v>0</v>
      </c>
      <c r="H420" s="630">
        <v>10</v>
      </c>
      <c r="I420" s="630">
        <v>13</v>
      </c>
      <c r="J420" s="630">
        <v>0</v>
      </c>
      <c r="K420" s="630">
        <v>23</v>
      </c>
      <c r="L420" s="630">
        <v>13</v>
      </c>
      <c r="M420" s="642">
        <v>21.45</v>
      </c>
    </row>
    <row r="421" spans="1:13" ht="15" customHeight="1">
      <c r="A421" s="639">
        <v>11240</v>
      </c>
      <c r="B421" s="627" t="s">
        <v>271</v>
      </c>
      <c r="C421" s="627" t="s">
        <v>66</v>
      </c>
      <c r="D421" s="627" t="s">
        <v>62</v>
      </c>
      <c r="E421" s="628">
        <v>1</v>
      </c>
      <c r="F421" s="628" t="s">
        <v>119</v>
      </c>
      <c r="G421" s="628">
        <v>0</v>
      </c>
      <c r="H421" s="628">
        <v>0</v>
      </c>
      <c r="I421" s="628">
        <v>10</v>
      </c>
      <c r="J421" s="628">
        <v>0</v>
      </c>
      <c r="K421" s="628">
        <v>10</v>
      </c>
      <c r="L421" s="628">
        <v>10</v>
      </c>
      <c r="M421" s="640">
        <v>10</v>
      </c>
    </row>
    <row r="422" spans="1:13" ht="15" customHeight="1">
      <c r="A422" s="641">
        <v>11240</v>
      </c>
      <c r="B422" s="629" t="s">
        <v>271</v>
      </c>
      <c r="C422" s="629" t="s">
        <v>66</v>
      </c>
      <c r="D422" s="629" t="s">
        <v>62</v>
      </c>
      <c r="E422" s="630">
        <v>1</v>
      </c>
      <c r="F422" s="630" t="s">
        <v>122</v>
      </c>
      <c r="G422" s="630">
        <v>0</v>
      </c>
      <c r="H422" s="630">
        <v>32</v>
      </c>
      <c r="I422" s="630">
        <v>23</v>
      </c>
      <c r="J422" s="630">
        <v>0</v>
      </c>
      <c r="K422" s="630">
        <v>55</v>
      </c>
      <c r="L422" s="630">
        <v>23</v>
      </c>
      <c r="M422" s="642">
        <v>23</v>
      </c>
    </row>
    <row r="423" spans="1:13" ht="15" customHeight="1">
      <c r="A423" s="639">
        <v>11240</v>
      </c>
      <c r="B423" s="627" t="s">
        <v>271</v>
      </c>
      <c r="C423" s="627" t="s">
        <v>67</v>
      </c>
      <c r="D423" s="627" t="s">
        <v>60</v>
      </c>
      <c r="E423" s="628">
        <v>1</v>
      </c>
      <c r="F423" s="628" t="s">
        <v>119</v>
      </c>
      <c r="G423" s="628">
        <v>0</v>
      </c>
      <c r="H423" s="628">
        <v>2</v>
      </c>
      <c r="I423" s="628">
        <v>20</v>
      </c>
      <c r="J423" s="628">
        <v>0</v>
      </c>
      <c r="K423" s="628">
        <v>22</v>
      </c>
      <c r="L423" s="628">
        <v>20</v>
      </c>
      <c r="M423" s="640">
        <v>20</v>
      </c>
    </row>
    <row r="424" spans="1:13" ht="15" customHeight="1">
      <c r="A424" s="641">
        <v>11240</v>
      </c>
      <c r="B424" s="629" t="s">
        <v>271</v>
      </c>
      <c r="C424" s="629" t="s">
        <v>67</v>
      </c>
      <c r="D424" s="629" t="s">
        <v>60</v>
      </c>
      <c r="E424" s="630">
        <v>1</v>
      </c>
      <c r="F424" s="630" t="s">
        <v>122</v>
      </c>
      <c r="G424" s="630">
        <v>0</v>
      </c>
      <c r="H424" s="630">
        <v>63</v>
      </c>
      <c r="I424" s="630">
        <v>62</v>
      </c>
      <c r="J424" s="630">
        <v>2</v>
      </c>
      <c r="K424" s="630">
        <v>127</v>
      </c>
      <c r="L424" s="630">
        <v>63</v>
      </c>
      <c r="M424" s="642">
        <v>63</v>
      </c>
    </row>
    <row r="425" spans="1:13" ht="15" customHeight="1">
      <c r="A425" s="639">
        <v>11240</v>
      </c>
      <c r="B425" s="627" t="s">
        <v>271</v>
      </c>
      <c r="C425" s="627" t="s">
        <v>586</v>
      </c>
      <c r="D425" s="627" t="s">
        <v>230</v>
      </c>
      <c r="E425" s="628">
        <v>1</v>
      </c>
      <c r="F425" s="628" t="s">
        <v>119</v>
      </c>
      <c r="G425" s="628">
        <v>0</v>
      </c>
      <c r="H425" s="628">
        <v>1</v>
      </c>
      <c r="I425" s="628">
        <v>2</v>
      </c>
      <c r="J425" s="628">
        <v>0</v>
      </c>
      <c r="K425" s="628">
        <v>3</v>
      </c>
      <c r="L425" s="628">
        <v>2</v>
      </c>
      <c r="M425" s="640">
        <v>2</v>
      </c>
    </row>
    <row r="426" spans="1:13" ht="15" customHeight="1">
      <c r="A426" s="641">
        <v>11240</v>
      </c>
      <c r="B426" s="629" t="s">
        <v>271</v>
      </c>
      <c r="C426" s="629" t="s">
        <v>586</v>
      </c>
      <c r="D426" s="629" t="s">
        <v>230</v>
      </c>
      <c r="E426" s="630">
        <v>1</v>
      </c>
      <c r="F426" s="630" t="s">
        <v>122</v>
      </c>
      <c r="G426" s="630">
        <v>0</v>
      </c>
      <c r="H426" s="630">
        <v>1</v>
      </c>
      <c r="I426" s="630">
        <v>3</v>
      </c>
      <c r="J426" s="630">
        <v>0</v>
      </c>
      <c r="K426" s="630">
        <v>4</v>
      </c>
      <c r="L426" s="630">
        <v>3</v>
      </c>
      <c r="M426" s="642">
        <v>3</v>
      </c>
    </row>
    <row r="427" spans="1:13" ht="15" customHeight="1">
      <c r="A427" s="639">
        <v>11240</v>
      </c>
      <c r="B427" s="627" t="s">
        <v>271</v>
      </c>
      <c r="C427" s="627" t="s">
        <v>255</v>
      </c>
      <c r="D427" s="627" t="s">
        <v>39</v>
      </c>
      <c r="E427" s="628">
        <v>1</v>
      </c>
      <c r="F427" s="628" t="s">
        <v>119</v>
      </c>
      <c r="G427" s="628">
        <v>0</v>
      </c>
      <c r="H427" s="628">
        <v>0</v>
      </c>
      <c r="I427" s="628">
        <v>2</v>
      </c>
      <c r="J427" s="628">
        <v>0</v>
      </c>
      <c r="K427" s="628">
        <v>2</v>
      </c>
      <c r="L427" s="628">
        <v>2</v>
      </c>
      <c r="M427" s="640">
        <v>2</v>
      </c>
    </row>
    <row r="428" spans="1:13" ht="15" customHeight="1">
      <c r="A428" s="641">
        <v>11240</v>
      </c>
      <c r="B428" s="629" t="s">
        <v>271</v>
      </c>
      <c r="C428" s="629" t="s">
        <v>255</v>
      </c>
      <c r="D428" s="629" t="s">
        <v>39</v>
      </c>
      <c r="E428" s="630">
        <v>1</v>
      </c>
      <c r="F428" s="630" t="s">
        <v>122</v>
      </c>
      <c r="G428" s="630">
        <v>0</v>
      </c>
      <c r="H428" s="630">
        <v>1</v>
      </c>
      <c r="I428" s="630">
        <v>17</v>
      </c>
      <c r="J428" s="630">
        <v>0</v>
      </c>
      <c r="K428" s="630">
        <v>18</v>
      </c>
      <c r="L428" s="630">
        <v>17</v>
      </c>
      <c r="M428" s="642">
        <v>17</v>
      </c>
    </row>
    <row r="429" spans="1:13" ht="15" customHeight="1">
      <c r="A429" s="643">
        <v>11240</v>
      </c>
      <c r="B429" s="631" t="s">
        <v>163</v>
      </c>
      <c r="C429" s="631"/>
      <c r="D429" s="631"/>
      <c r="E429" s="631"/>
      <c r="F429" s="632" t="s">
        <v>132</v>
      </c>
      <c r="G429" s="632">
        <v>539</v>
      </c>
      <c r="H429" s="632">
        <v>25</v>
      </c>
      <c r="I429" s="632">
        <v>223</v>
      </c>
      <c r="J429" s="632">
        <v>6</v>
      </c>
      <c r="K429" s="632">
        <v>793</v>
      </c>
      <c r="L429" s="632"/>
      <c r="M429" s="644"/>
    </row>
    <row r="430" spans="1:13" ht="15" customHeight="1">
      <c r="A430" s="643">
        <v>11240</v>
      </c>
      <c r="B430" s="631" t="s">
        <v>163</v>
      </c>
      <c r="C430" s="631"/>
      <c r="D430" s="631"/>
      <c r="E430" s="631"/>
      <c r="F430" s="632" t="s">
        <v>109</v>
      </c>
      <c r="G430" s="632">
        <v>0</v>
      </c>
      <c r="H430" s="632">
        <v>135</v>
      </c>
      <c r="I430" s="632">
        <v>745</v>
      </c>
      <c r="J430" s="632">
        <v>30</v>
      </c>
      <c r="K430" s="632">
        <v>910</v>
      </c>
      <c r="L430" s="632"/>
      <c r="M430" s="644"/>
    </row>
    <row r="431" spans="1:13" ht="15" customHeight="1">
      <c r="A431" s="643">
        <v>11240</v>
      </c>
      <c r="B431" s="631" t="s">
        <v>163</v>
      </c>
      <c r="C431" s="631"/>
      <c r="D431" s="631"/>
      <c r="E431" s="631"/>
      <c r="F431" s="632" t="s">
        <v>110</v>
      </c>
      <c r="G431" s="632">
        <v>0</v>
      </c>
      <c r="H431" s="632">
        <v>0</v>
      </c>
      <c r="I431" s="632">
        <v>0</v>
      </c>
      <c r="J431" s="632">
        <v>0</v>
      </c>
      <c r="K431" s="632">
        <v>0</v>
      </c>
      <c r="L431" s="632"/>
      <c r="M431" s="644"/>
    </row>
    <row r="432" spans="1:13" ht="15" customHeight="1">
      <c r="A432" s="643">
        <v>11240</v>
      </c>
      <c r="B432" s="631" t="s">
        <v>163</v>
      </c>
      <c r="C432" s="631"/>
      <c r="D432" s="631"/>
      <c r="E432" s="631"/>
      <c r="F432" s="632" t="s">
        <v>113</v>
      </c>
      <c r="G432" s="632">
        <v>0</v>
      </c>
      <c r="H432" s="632">
        <v>0</v>
      </c>
      <c r="I432" s="632">
        <v>0</v>
      </c>
      <c r="J432" s="632">
        <v>0</v>
      </c>
      <c r="K432" s="632">
        <v>0</v>
      </c>
      <c r="L432" s="632"/>
      <c r="M432" s="644"/>
    </row>
    <row r="433" spans="1:13" ht="15" customHeight="1">
      <c r="A433" s="643">
        <v>11240</v>
      </c>
      <c r="B433" s="631" t="s">
        <v>163</v>
      </c>
      <c r="C433" s="631"/>
      <c r="D433" s="631"/>
      <c r="E433" s="631"/>
      <c r="F433" s="632" t="s">
        <v>116</v>
      </c>
      <c r="G433" s="632">
        <v>0</v>
      </c>
      <c r="H433" s="632">
        <v>9</v>
      </c>
      <c r="I433" s="632">
        <v>267</v>
      </c>
      <c r="J433" s="632">
        <v>3</v>
      </c>
      <c r="K433" s="632">
        <v>279</v>
      </c>
      <c r="L433" s="632"/>
      <c r="M433" s="644"/>
    </row>
    <row r="434" spans="1:13" ht="15" customHeight="1">
      <c r="A434" s="643">
        <v>11240</v>
      </c>
      <c r="B434" s="631" t="s">
        <v>163</v>
      </c>
      <c r="C434" s="631"/>
      <c r="D434" s="631"/>
      <c r="E434" s="631"/>
      <c r="F434" s="632" t="s">
        <v>114</v>
      </c>
      <c r="G434" s="632">
        <v>0</v>
      </c>
      <c r="H434" s="632">
        <v>95</v>
      </c>
      <c r="I434" s="632">
        <v>320</v>
      </c>
      <c r="J434" s="632">
        <v>17</v>
      </c>
      <c r="K434" s="632">
        <v>432</v>
      </c>
      <c r="L434" s="632"/>
      <c r="M434" s="644"/>
    </row>
    <row r="435" spans="1:13" ht="15" customHeight="1">
      <c r="A435" s="643">
        <v>11240</v>
      </c>
      <c r="B435" s="631" t="s">
        <v>163</v>
      </c>
      <c r="C435" s="631"/>
      <c r="D435" s="631"/>
      <c r="E435" s="631"/>
      <c r="F435" s="632" t="s">
        <v>119</v>
      </c>
      <c r="G435" s="632">
        <v>0</v>
      </c>
      <c r="H435" s="632">
        <v>3</v>
      </c>
      <c r="I435" s="632">
        <v>36</v>
      </c>
      <c r="J435" s="632">
        <v>0</v>
      </c>
      <c r="K435" s="632">
        <v>39</v>
      </c>
      <c r="L435" s="632"/>
      <c r="M435" s="644"/>
    </row>
    <row r="436" spans="1:13" ht="15" customHeight="1">
      <c r="A436" s="643">
        <v>11240</v>
      </c>
      <c r="B436" s="631" t="s">
        <v>163</v>
      </c>
      <c r="C436" s="631"/>
      <c r="D436" s="631"/>
      <c r="E436" s="631"/>
      <c r="F436" s="632" t="s">
        <v>122</v>
      </c>
      <c r="G436" s="632">
        <v>0</v>
      </c>
      <c r="H436" s="632">
        <v>109</v>
      </c>
      <c r="I436" s="632">
        <v>118</v>
      </c>
      <c r="J436" s="632">
        <v>2</v>
      </c>
      <c r="K436" s="632">
        <v>229</v>
      </c>
      <c r="L436" s="632"/>
      <c r="M436" s="644"/>
    </row>
    <row r="437" spans="1:13" ht="15" customHeight="1">
      <c r="A437" s="639">
        <v>11260</v>
      </c>
      <c r="B437" s="627" t="s">
        <v>274</v>
      </c>
      <c r="C437" s="627" t="s">
        <v>69</v>
      </c>
      <c r="D437" s="627" t="s">
        <v>70</v>
      </c>
      <c r="E437" s="628">
        <v>1</v>
      </c>
      <c r="F437" s="628" t="s">
        <v>132</v>
      </c>
      <c r="G437" s="628">
        <v>13</v>
      </c>
      <c r="H437" s="628">
        <v>3</v>
      </c>
      <c r="I437" s="628">
        <v>16</v>
      </c>
      <c r="J437" s="628">
        <v>0</v>
      </c>
      <c r="K437" s="628">
        <v>32</v>
      </c>
      <c r="L437" s="628">
        <v>29</v>
      </c>
      <c r="M437" s="640">
        <v>29</v>
      </c>
    </row>
    <row r="438" spans="1:13" ht="15" customHeight="1">
      <c r="A438" s="641">
        <v>11260</v>
      </c>
      <c r="B438" s="629" t="s">
        <v>274</v>
      </c>
      <c r="C438" s="629" t="s">
        <v>69</v>
      </c>
      <c r="D438" s="629" t="s">
        <v>70</v>
      </c>
      <c r="E438" s="630">
        <v>1</v>
      </c>
      <c r="F438" s="630" t="s">
        <v>109</v>
      </c>
      <c r="G438" s="630">
        <v>0</v>
      </c>
      <c r="H438" s="630">
        <v>27</v>
      </c>
      <c r="I438" s="630">
        <v>83</v>
      </c>
      <c r="J438" s="630">
        <v>3</v>
      </c>
      <c r="K438" s="630">
        <v>113</v>
      </c>
      <c r="L438" s="630">
        <v>84.5</v>
      </c>
      <c r="M438" s="642">
        <v>84.5</v>
      </c>
    </row>
    <row r="439" spans="1:13" ht="15" customHeight="1">
      <c r="A439" s="639">
        <v>11260</v>
      </c>
      <c r="B439" s="627" t="s">
        <v>274</v>
      </c>
      <c r="C439" s="627" t="s">
        <v>231</v>
      </c>
      <c r="D439" s="627" t="s">
        <v>39</v>
      </c>
      <c r="E439" s="628">
        <v>1</v>
      </c>
      <c r="F439" s="628" t="s">
        <v>132</v>
      </c>
      <c r="G439" s="628">
        <v>13</v>
      </c>
      <c r="H439" s="628">
        <v>0</v>
      </c>
      <c r="I439" s="628">
        <v>6</v>
      </c>
      <c r="J439" s="628">
        <v>1</v>
      </c>
      <c r="K439" s="628">
        <v>20</v>
      </c>
      <c r="L439" s="628">
        <v>19.5</v>
      </c>
      <c r="M439" s="640">
        <v>19.5</v>
      </c>
    </row>
    <row r="440" spans="1:13" ht="15" customHeight="1">
      <c r="A440" s="641">
        <v>11260</v>
      </c>
      <c r="B440" s="629" t="s">
        <v>274</v>
      </c>
      <c r="C440" s="629" t="s">
        <v>231</v>
      </c>
      <c r="D440" s="629" t="s">
        <v>39</v>
      </c>
      <c r="E440" s="630">
        <v>1</v>
      </c>
      <c r="F440" s="630" t="s">
        <v>109</v>
      </c>
      <c r="G440" s="630">
        <v>0</v>
      </c>
      <c r="H440" s="630">
        <v>10</v>
      </c>
      <c r="I440" s="630">
        <v>34</v>
      </c>
      <c r="J440" s="630">
        <v>2</v>
      </c>
      <c r="K440" s="630">
        <v>46</v>
      </c>
      <c r="L440" s="630">
        <v>35</v>
      </c>
      <c r="M440" s="642">
        <v>35</v>
      </c>
    </row>
    <row r="441" spans="1:13" ht="15" customHeight="1">
      <c r="A441" s="639">
        <v>11260</v>
      </c>
      <c r="B441" s="627" t="s">
        <v>274</v>
      </c>
      <c r="C441" s="627" t="s">
        <v>243</v>
      </c>
      <c r="D441" s="627" t="s">
        <v>244</v>
      </c>
      <c r="E441" s="628">
        <v>1</v>
      </c>
      <c r="F441" s="628" t="s">
        <v>132</v>
      </c>
      <c r="G441" s="628">
        <v>15</v>
      </c>
      <c r="H441" s="628">
        <v>2</v>
      </c>
      <c r="I441" s="628">
        <v>17</v>
      </c>
      <c r="J441" s="628">
        <v>1</v>
      </c>
      <c r="K441" s="628">
        <v>35</v>
      </c>
      <c r="L441" s="628">
        <v>32.5</v>
      </c>
      <c r="M441" s="640">
        <v>32.5</v>
      </c>
    </row>
    <row r="442" spans="1:13" ht="15" customHeight="1">
      <c r="A442" s="641">
        <v>11260</v>
      </c>
      <c r="B442" s="629" t="s">
        <v>274</v>
      </c>
      <c r="C442" s="629" t="s">
        <v>243</v>
      </c>
      <c r="D442" s="629" t="s">
        <v>244</v>
      </c>
      <c r="E442" s="630">
        <v>1</v>
      </c>
      <c r="F442" s="630" t="s">
        <v>109</v>
      </c>
      <c r="G442" s="630">
        <v>0</v>
      </c>
      <c r="H442" s="630">
        <v>10</v>
      </c>
      <c r="I442" s="630">
        <v>49</v>
      </c>
      <c r="J442" s="630">
        <v>3</v>
      </c>
      <c r="K442" s="630">
        <v>62</v>
      </c>
      <c r="L442" s="630">
        <v>50.5</v>
      </c>
      <c r="M442" s="642">
        <v>50.5</v>
      </c>
    </row>
    <row r="443" spans="1:13" ht="15" customHeight="1">
      <c r="A443" s="639">
        <v>11260</v>
      </c>
      <c r="B443" s="627" t="s">
        <v>274</v>
      </c>
      <c r="C443" s="627" t="s">
        <v>275</v>
      </c>
      <c r="D443" s="627" t="s">
        <v>70</v>
      </c>
      <c r="E443" s="628">
        <v>1</v>
      </c>
      <c r="F443" s="628" t="s">
        <v>110</v>
      </c>
      <c r="G443" s="628">
        <v>10</v>
      </c>
      <c r="H443" s="628">
        <v>0</v>
      </c>
      <c r="I443" s="628">
        <v>2</v>
      </c>
      <c r="J443" s="628">
        <v>0</v>
      </c>
      <c r="K443" s="628">
        <v>12</v>
      </c>
      <c r="L443" s="628">
        <v>12</v>
      </c>
      <c r="M443" s="640">
        <v>12</v>
      </c>
    </row>
    <row r="444" spans="1:13" ht="15" customHeight="1">
      <c r="A444" s="641">
        <v>11260</v>
      </c>
      <c r="B444" s="629" t="s">
        <v>274</v>
      </c>
      <c r="C444" s="629" t="s">
        <v>275</v>
      </c>
      <c r="D444" s="629" t="s">
        <v>70</v>
      </c>
      <c r="E444" s="630">
        <v>1</v>
      </c>
      <c r="F444" s="630" t="s">
        <v>113</v>
      </c>
      <c r="G444" s="630">
        <v>0</v>
      </c>
      <c r="H444" s="630">
        <v>3</v>
      </c>
      <c r="I444" s="630">
        <v>34</v>
      </c>
      <c r="J444" s="630">
        <v>2</v>
      </c>
      <c r="K444" s="630">
        <v>39</v>
      </c>
      <c r="L444" s="630">
        <v>35</v>
      </c>
      <c r="M444" s="642">
        <v>35</v>
      </c>
    </row>
    <row r="445" spans="1:13" ht="15" customHeight="1">
      <c r="A445" s="639">
        <v>11260</v>
      </c>
      <c r="B445" s="627" t="s">
        <v>274</v>
      </c>
      <c r="C445" s="627" t="s">
        <v>63</v>
      </c>
      <c r="D445" s="627" t="s">
        <v>60</v>
      </c>
      <c r="E445" s="628">
        <v>1</v>
      </c>
      <c r="F445" s="628" t="s">
        <v>116</v>
      </c>
      <c r="G445" s="628">
        <v>0</v>
      </c>
      <c r="H445" s="628">
        <v>3</v>
      </c>
      <c r="I445" s="628">
        <v>19</v>
      </c>
      <c r="J445" s="628">
        <v>0</v>
      </c>
      <c r="K445" s="628">
        <v>22</v>
      </c>
      <c r="L445" s="628">
        <v>19</v>
      </c>
      <c r="M445" s="640">
        <v>19</v>
      </c>
    </row>
    <row r="446" spans="1:13" ht="15" customHeight="1">
      <c r="A446" s="641">
        <v>11260</v>
      </c>
      <c r="B446" s="629" t="s">
        <v>274</v>
      </c>
      <c r="C446" s="629" t="s">
        <v>63</v>
      </c>
      <c r="D446" s="629" t="s">
        <v>60</v>
      </c>
      <c r="E446" s="630">
        <v>1</v>
      </c>
      <c r="F446" s="630" t="s">
        <v>114</v>
      </c>
      <c r="G446" s="630">
        <v>0</v>
      </c>
      <c r="H446" s="630">
        <v>8</v>
      </c>
      <c r="I446" s="630">
        <v>20</v>
      </c>
      <c r="J446" s="630">
        <v>2</v>
      </c>
      <c r="K446" s="630">
        <v>30</v>
      </c>
      <c r="L446" s="630">
        <v>21</v>
      </c>
      <c r="M446" s="642">
        <v>21</v>
      </c>
    </row>
    <row r="447" spans="1:13" ht="15" customHeight="1">
      <c r="A447" s="639">
        <v>11260</v>
      </c>
      <c r="B447" s="627" t="s">
        <v>274</v>
      </c>
      <c r="C447" s="627" t="s">
        <v>276</v>
      </c>
      <c r="D447" s="627" t="s">
        <v>70</v>
      </c>
      <c r="E447" s="628">
        <v>1</v>
      </c>
      <c r="F447" s="628" t="s">
        <v>116</v>
      </c>
      <c r="G447" s="628">
        <v>0</v>
      </c>
      <c r="H447" s="628">
        <v>0</v>
      </c>
      <c r="I447" s="628">
        <v>22</v>
      </c>
      <c r="J447" s="628">
        <v>3</v>
      </c>
      <c r="K447" s="628">
        <v>25</v>
      </c>
      <c r="L447" s="628">
        <v>23.5</v>
      </c>
      <c r="M447" s="640">
        <v>23.5</v>
      </c>
    </row>
    <row r="448" spans="1:13" ht="15" customHeight="1">
      <c r="A448" s="641">
        <v>11260</v>
      </c>
      <c r="B448" s="629" t="s">
        <v>274</v>
      </c>
      <c r="C448" s="629" t="s">
        <v>276</v>
      </c>
      <c r="D448" s="629" t="s">
        <v>70</v>
      </c>
      <c r="E448" s="630">
        <v>1</v>
      </c>
      <c r="F448" s="630" t="s">
        <v>114</v>
      </c>
      <c r="G448" s="630">
        <v>0</v>
      </c>
      <c r="H448" s="630">
        <v>10</v>
      </c>
      <c r="I448" s="630">
        <v>24</v>
      </c>
      <c r="J448" s="630">
        <v>1</v>
      </c>
      <c r="K448" s="630">
        <v>35</v>
      </c>
      <c r="L448" s="630">
        <v>24.5</v>
      </c>
      <c r="M448" s="642">
        <v>24.5</v>
      </c>
    </row>
    <row r="449" spans="1:13" ht="15" customHeight="1">
      <c r="A449" s="639">
        <v>11260</v>
      </c>
      <c r="B449" s="627" t="s">
        <v>274</v>
      </c>
      <c r="C449" s="627" t="s">
        <v>38</v>
      </c>
      <c r="D449" s="627" t="s">
        <v>39</v>
      </c>
      <c r="E449" s="628">
        <v>1</v>
      </c>
      <c r="F449" s="628" t="s">
        <v>116</v>
      </c>
      <c r="G449" s="628">
        <v>0</v>
      </c>
      <c r="H449" s="628">
        <v>0</v>
      </c>
      <c r="I449" s="628">
        <v>19</v>
      </c>
      <c r="J449" s="628">
        <v>0</v>
      </c>
      <c r="K449" s="628">
        <v>19</v>
      </c>
      <c r="L449" s="628">
        <v>19</v>
      </c>
      <c r="M449" s="640">
        <v>19</v>
      </c>
    </row>
    <row r="450" spans="1:13" ht="15" customHeight="1">
      <c r="A450" s="641">
        <v>11260</v>
      </c>
      <c r="B450" s="629" t="s">
        <v>274</v>
      </c>
      <c r="C450" s="629" t="s">
        <v>38</v>
      </c>
      <c r="D450" s="629" t="s">
        <v>39</v>
      </c>
      <c r="E450" s="630">
        <v>1</v>
      </c>
      <c r="F450" s="630" t="s">
        <v>114</v>
      </c>
      <c r="G450" s="630">
        <v>0</v>
      </c>
      <c r="H450" s="630">
        <v>4</v>
      </c>
      <c r="I450" s="630">
        <v>23</v>
      </c>
      <c r="J450" s="630">
        <v>0</v>
      </c>
      <c r="K450" s="630">
        <v>27</v>
      </c>
      <c r="L450" s="630">
        <v>23</v>
      </c>
      <c r="M450" s="642">
        <v>23</v>
      </c>
    </row>
    <row r="451" spans="1:13" ht="15" customHeight="1">
      <c r="A451" s="639">
        <v>11260</v>
      </c>
      <c r="B451" s="627" t="s">
        <v>274</v>
      </c>
      <c r="C451" s="627" t="s">
        <v>253</v>
      </c>
      <c r="D451" s="627" t="s">
        <v>244</v>
      </c>
      <c r="E451" s="628">
        <v>1</v>
      </c>
      <c r="F451" s="628" t="s">
        <v>116</v>
      </c>
      <c r="G451" s="628">
        <v>0</v>
      </c>
      <c r="H451" s="628">
        <v>0</v>
      </c>
      <c r="I451" s="628">
        <v>16</v>
      </c>
      <c r="J451" s="628">
        <v>0</v>
      </c>
      <c r="K451" s="628">
        <v>16</v>
      </c>
      <c r="L451" s="628">
        <v>16</v>
      </c>
      <c r="M451" s="640">
        <v>16</v>
      </c>
    </row>
    <row r="452" spans="1:13" ht="15" customHeight="1">
      <c r="A452" s="641">
        <v>11260</v>
      </c>
      <c r="B452" s="629" t="s">
        <v>274</v>
      </c>
      <c r="C452" s="629" t="s">
        <v>253</v>
      </c>
      <c r="D452" s="629" t="s">
        <v>244</v>
      </c>
      <c r="E452" s="630">
        <v>1</v>
      </c>
      <c r="F452" s="630" t="s">
        <v>114</v>
      </c>
      <c r="G452" s="630">
        <v>0</v>
      </c>
      <c r="H452" s="630">
        <v>9</v>
      </c>
      <c r="I452" s="630">
        <v>33</v>
      </c>
      <c r="J452" s="630">
        <v>0</v>
      </c>
      <c r="K452" s="630">
        <v>42</v>
      </c>
      <c r="L452" s="630">
        <v>33</v>
      </c>
      <c r="M452" s="642">
        <v>33</v>
      </c>
    </row>
    <row r="453" spans="1:13" ht="15" customHeight="1">
      <c r="A453" s="639">
        <v>11260</v>
      </c>
      <c r="B453" s="627" t="s">
        <v>274</v>
      </c>
      <c r="C453" s="627" t="s">
        <v>71</v>
      </c>
      <c r="D453" s="627" t="s">
        <v>70</v>
      </c>
      <c r="E453" s="628">
        <v>1</v>
      </c>
      <c r="F453" s="628" t="s">
        <v>119</v>
      </c>
      <c r="G453" s="628">
        <v>0</v>
      </c>
      <c r="H453" s="628">
        <v>1</v>
      </c>
      <c r="I453" s="628">
        <v>3</v>
      </c>
      <c r="J453" s="628">
        <v>0</v>
      </c>
      <c r="K453" s="628">
        <v>4</v>
      </c>
      <c r="L453" s="628">
        <v>3</v>
      </c>
      <c r="M453" s="640">
        <v>3</v>
      </c>
    </row>
    <row r="454" spans="1:13" ht="15" customHeight="1">
      <c r="A454" s="641">
        <v>11260</v>
      </c>
      <c r="B454" s="629" t="s">
        <v>274</v>
      </c>
      <c r="C454" s="629" t="s">
        <v>71</v>
      </c>
      <c r="D454" s="629" t="s">
        <v>70</v>
      </c>
      <c r="E454" s="630">
        <v>1</v>
      </c>
      <c r="F454" s="630" t="s">
        <v>122</v>
      </c>
      <c r="G454" s="630">
        <v>0</v>
      </c>
      <c r="H454" s="630">
        <v>3</v>
      </c>
      <c r="I454" s="630">
        <v>10</v>
      </c>
      <c r="J454" s="630">
        <v>0</v>
      </c>
      <c r="K454" s="630">
        <v>13</v>
      </c>
      <c r="L454" s="630">
        <v>10</v>
      </c>
      <c r="M454" s="642">
        <v>10</v>
      </c>
    </row>
    <row r="455" spans="1:13" ht="15" customHeight="1">
      <c r="A455" s="639">
        <v>11260</v>
      </c>
      <c r="B455" s="627" t="s">
        <v>274</v>
      </c>
      <c r="C455" s="627" t="s">
        <v>255</v>
      </c>
      <c r="D455" s="627" t="s">
        <v>39</v>
      </c>
      <c r="E455" s="628">
        <v>1</v>
      </c>
      <c r="F455" s="628" t="s">
        <v>119</v>
      </c>
      <c r="G455" s="628">
        <v>0</v>
      </c>
      <c r="H455" s="628">
        <v>1</v>
      </c>
      <c r="I455" s="628">
        <v>4</v>
      </c>
      <c r="J455" s="628">
        <v>1</v>
      </c>
      <c r="K455" s="628">
        <v>6</v>
      </c>
      <c r="L455" s="628">
        <v>4.5</v>
      </c>
      <c r="M455" s="640">
        <v>4.5</v>
      </c>
    </row>
    <row r="456" spans="1:13" ht="15" customHeight="1">
      <c r="A456" s="641">
        <v>11260</v>
      </c>
      <c r="B456" s="629" t="s">
        <v>274</v>
      </c>
      <c r="C456" s="629" t="s">
        <v>255</v>
      </c>
      <c r="D456" s="629" t="s">
        <v>39</v>
      </c>
      <c r="E456" s="630">
        <v>1</v>
      </c>
      <c r="F456" s="630" t="s">
        <v>122</v>
      </c>
      <c r="G456" s="630">
        <v>0</v>
      </c>
      <c r="H456" s="630">
        <v>1</v>
      </c>
      <c r="I456" s="630">
        <v>22</v>
      </c>
      <c r="J456" s="630">
        <v>0</v>
      </c>
      <c r="K456" s="630">
        <v>23</v>
      </c>
      <c r="L456" s="630">
        <v>22</v>
      </c>
      <c r="M456" s="642">
        <v>22</v>
      </c>
    </row>
    <row r="457" spans="1:13" ht="15" customHeight="1">
      <c r="A457" s="639">
        <v>11260</v>
      </c>
      <c r="B457" s="627" t="s">
        <v>274</v>
      </c>
      <c r="C457" s="627" t="s">
        <v>258</v>
      </c>
      <c r="D457" s="627" t="s">
        <v>244</v>
      </c>
      <c r="E457" s="628">
        <v>1</v>
      </c>
      <c r="F457" s="628" t="s">
        <v>119</v>
      </c>
      <c r="G457" s="628">
        <v>0</v>
      </c>
      <c r="H457" s="628">
        <v>0</v>
      </c>
      <c r="I457" s="628">
        <v>6</v>
      </c>
      <c r="J457" s="628">
        <v>0</v>
      </c>
      <c r="K457" s="628">
        <v>6</v>
      </c>
      <c r="L457" s="628">
        <v>6</v>
      </c>
      <c r="M457" s="640">
        <v>6</v>
      </c>
    </row>
    <row r="458" spans="1:13" ht="15" customHeight="1">
      <c r="A458" s="641">
        <v>11260</v>
      </c>
      <c r="B458" s="629" t="s">
        <v>274</v>
      </c>
      <c r="C458" s="629" t="s">
        <v>258</v>
      </c>
      <c r="D458" s="629" t="s">
        <v>244</v>
      </c>
      <c r="E458" s="630">
        <v>1</v>
      </c>
      <c r="F458" s="630" t="s">
        <v>122</v>
      </c>
      <c r="G458" s="630">
        <v>0</v>
      </c>
      <c r="H458" s="630">
        <v>20</v>
      </c>
      <c r="I458" s="630">
        <v>13</v>
      </c>
      <c r="J458" s="630">
        <v>1</v>
      </c>
      <c r="K458" s="630">
        <v>34</v>
      </c>
      <c r="L458" s="630">
        <v>13.5</v>
      </c>
      <c r="M458" s="642">
        <v>13.5</v>
      </c>
    </row>
    <row r="459" spans="1:13" ht="15" customHeight="1">
      <c r="A459" s="643">
        <v>11260</v>
      </c>
      <c r="B459" s="631" t="s">
        <v>163</v>
      </c>
      <c r="C459" s="631"/>
      <c r="D459" s="631"/>
      <c r="E459" s="631"/>
      <c r="F459" s="632" t="s">
        <v>132</v>
      </c>
      <c r="G459" s="632">
        <v>41</v>
      </c>
      <c r="H459" s="632">
        <v>5</v>
      </c>
      <c r="I459" s="632">
        <v>39</v>
      </c>
      <c r="J459" s="632">
        <v>2</v>
      </c>
      <c r="K459" s="632">
        <v>87</v>
      </c>
      <c r="L459" s="632"/>
      <c r="M459" s="644"/>
    </row>
    <row r="460" spans="1:13" ht="15" customHeight="1">
      <c r="A460" s="643">
        <v>11260</v>
      </c>
      <c r="B460" s="631" t="s">
        <v>163</v>
      </c>
      <c r="C460" s="631"/>
      <c r="D460" s="631"/>
      <c r="E460" s="631"/>
      <c r="F460" s="632" t="s">
        <v>109</v>
      </c>
      <c r="G460" s="632">
        <v>0</v>
      </c>
      <c r="H460" s="632">
        <v>47</v>
      </c>
      <c r="I460" s="632">
        <v>166</v>
      </c>
      <c r="J460" s="632">
        <v>8</v>
      </c>
      <c r="K460" s="632">
        <v>221</v>
      </c>
      <c r="L460" s="632"/>
      <c r="M460" s="644"/>
    </row>
    <row r="461" spans="1:13" ht="15" customHeight="1">
      <c r="A461" s="643">
        <v>11260</v>
      </c>
      <c r="B461" s="631" t="s">
        <v>163</v>
      </c>
      <c r="C461" s="631"/>
      <c r="D461" s="631"/>
      <c r="E461" s="631"/>
      <c r="F461" s="632" t="s">
        <v>110</v>
      </c>
      <c r="G461" s="632">
        <v>10</v>
      </c>
      <c r="H461" s="632">
        <v>0</v>
      </c>
      <c r="I461" s="632">
        <v>2</v>
      </c>
      <c r="J461" s="632">
        <v>0</v>
      </c>
      <c r="K461" s="632">
        <v>12</v>
      </c>
      <c r="L461" s="632"/>
      <c r="M461" s="644"/>
    </row>
    <row r="462" spans="1:13" ht="15" customHeight="1">
      <c r="A462" s="643">
        <v>11260</v>
      </c>
      <c r="B462" s="631" t="s">
        <v>163</v>
      </c>
      <c r="C462" s="631"/>
      <c r="D462" s="631"/>
      <c r="E462" s="631"/>
      <c r="F462" s="632" t="s">
        <v>113</v>
      </c>
      <c r="G462" s="632">
        <v>0</v>
      </c>
      <c r="H462" s="632">
        <v>3</v>
      </c>
      <c r="I462" s="632">
        <v>34</v>
      </c>
      <c r="J462" s="632">
        <v>2</v>
      </c>
      <c r="K462" s="632">
        <v>39</v>
      </c>
      <c r="L462" s="632"/>
      <c r="M462" s="644"/>
    </row>
    <row r="463" spans="1:13" ht="15" customHeight="1">
      <c r="A463" s="643">
        <v>11260</v>
      </c>
      <c r="B463" s="631" t="s">
        <v>163</v>
      </c>
      <c r="C463" s="631"/>
      <c r="D463" s="631"/>
      <c r="E463" s="631"/>
      <c r="F463" s="632" t="s">
        <v>116</v>
      </c>
      <c r="G463" s="632">
        <v>0</v>
      </c>
      <c r="H463" s="632">
        <v>3</v>
      </c>
      <c r="I463" s="632">
        <v>76</v>
      </c>
      <c r="J463" s="632">
        <v>3</v>
      </c>
      <c r="K463" s="632">
        <v>82</v>
      </c>
      <c r="L463" s="632"/>
      <c r="M463" s="644"/>
    </row>
    <row r="464" spans="1:13" ht="15" customHeight="1">
      <c r="A464" s="643">
        <v>11260</v>
      </c>
      <c r="B464" s="631" t="s">
        <v>163</v>
      </c>
      <c r="C464" s="631"/>
      <c r="D464" s="631"/>
      <c r="E464" s="631"/>
      <c r="F464" s="632" t="s">
        <v>114</v>
      </c>
      <c r="G464" s="632">
        <v>0</v>
      </c>
      <c r="H464" s="632">
        <v>31</v>
      </c>
      <c r="I464" s="632">
        <v>100</v>
      </c>
      <c r="J464" s="632">
        <v>3</v>
      </c>
      <c r="K464" s="632">
        <v>134</v>
      </c>
      <c r="L464" s="632"/>
      <c r="M464" s="644"/>
    </row>
    <row r="465" spans="1:13" ht="15" customHeight="1">
      <c r="A465" s="643">
        <v>11260</v>
      </c>
      <c r="B465" s="631" t="s">
        <v>163</v>
      </c>
      <c r="C465" s="631"/>
      <c r="D465" s="631"/>
      <c r="E465" s="631"/>
      <c r="F465" s="632" t="s">
        <v>119</v>
      </c>
      <c r="G465" s="632">
        <v>0</v>
      </c>
      <c r="H465" s="632">
        <v>2</v>
      </c>
      <c r="I465" s="632">
        <v>13</v>
      </c>
      <c r="J465" s="632">
        <v>1</v>
      </c>
      <c r="K465" s="632">
        <v>16</v>
      </c>
      <c r="L465" s="632"/>
      <c r="M465" s="644"/>
    </row>
    <row r="466" spans="1:13" ht="15" customHeight="1">
      <c r="A466" s="643">
        <v>11260</v>
      </c>
      <c r="B466" s="631" t="s">
        <v>163</v>
      </c>
      <c r="C466" s="631"/>
      <c r="D466" s="631"/>
      <c r="E466" s="631"/>
      <c r="F466" s="632" t="s">
        <v>122</v>
      </c>
      <c r="G466" s="632">
        <v>0</v>
      </c>
      <c r="H466" s="632">
        <v>24</v>
      </c>
      <c r="I466" s="632">
        <v>45</v>
      </c>
      <c r="J466" s="632">
        <v>1</v>
      </c>
      <c r="K466" s="632">
        <v>70</v>
      </c>
      <c r="L466" s="632"/>
      <c r="M466" s="644"/>
    </row>
    <row r="467" spans="1:13" ht="15" customHeight="1">
      <c r="A467" s="639">
        <v>11270</v>
      </c>
      <c r="B467" s="627" t="s">
        <v>277</v>
      </c>
      <c r="C467" s="627" t="s">
        <v>69</v>
      </c>
      <c r="D467" s="627" t="s">
        <v>70</v>
      </c>
      <c r="E467" s="628">
        <v>1</v>
      </c>
      <c r="F467" s="628" t="s">
        <v>132</v>
      </c>
      <c r="G467" s="628">
        <v>8</v>
      </c>
      <c r="H467" s="628">
        <v>7</v>
      </c>
      <c r="I467" s="628">
        <v>15</v>
      </c>
      <c r="J467" s="628">
        <v>0</v>
      </c>
      <c r="K467" s="628">
        <v>30</v>
      </c>
      <c r="L467" s="628">
        <v>23</v>
      </c>
      <c r="M467" s="640">
        <v>23</v>
      </c>
    </row>
    <row r="468" spans="1:13" ht="15" customHeight="1">
      <c r="A468" s="641">
        <v>11270</v>
      </c>
      <c r="B468" s="629" t="s">
        <v>277</v>
      </c>
      <c r="C468" s="629" t="s">
        <v>69</v>
      </c>
      <c r="D468" s="629" t="s">
        <v>70</v>
      </c>
      <c r="E468" s="630">
        <v>1</v>
      </c>
      <c r="F468" s="630" t="s">
        <v>109</v>
      </c>
      <c r="G468" s="630">
        <v>0</v>
      </c>
      <c r="H468" s="630">
        <v>13</v>
      </c>
      <c r="I468" s="630">
        <v>34</v>
      </c>
      <c r="J468" s="630">
        <v>0</v>
      </c>
      <c r="K468" s="630">
        <v>47</v>
      </c>
      <c r="L468" s="630">
        <v>34</v>
      </c>
      <c r="M468" s="642">
        <v>34</v>
      </c>
    </row>
    <row r="469" spans="1:13" ht="15" customHeight="1">
      <c r="A469" s="639">
        <v>11270</v>
      </c>
      <c r="B469" s="627" t="s">
        <v>277</v>
      </c>
      <c r="C469" s="627" t="s">
        <v>278</v>
      </c>
      <c r="D469" s="627" t="s">
        <v>279</v>
      </c>
      <c r="E469" s="628">
        <v>1</v>
      </c>
      <c r="F469" s="628" t="s">
        <v>132</v>
      </c>
      <c r="G469" s="628">
        <v>25</v>
      </c>
      <c r="H469" s="628">
        <v>6</v>
      </c>
      <c r="I469" s="628">
        <v>25</v>
      </c>
      <c r="J469" s="628">
        <v>1</v>
      </c>
      <c r="K469" s="628">
        <v>57</v>
      </c>
      <c r="L469" s="628">
        <v>50.5</v>
      </c>
      <c r="M469" s="640">
        <v>50.5</v>
      </c>
    </row>
    <row r="470" spans="1:13" ht="15" customHeight="1">
      <c r="A470" s="641">
        <v>11270</v>
      </c>
      <c r="B470" s="629" t="s">
        <v>277</v>
      </c>
      <c r="C470" s="629" t="s">
        <v>278</v>
      </c>
      <c r="D470" s="629" t="s">
        <v>279</v>
      </c>
      <c r="E470" s="630">
        <v>1</v>
      </c>
      <c r="F470" s="630" t="s">
        <v>109</v>
      </c>
      <c r="G470" s="630">
        <v>0</v>
      </c>
      <c r="H470" s="630">
        <v>54</v>
      </c>
      <c r="I470" s="630">
        <v>106</v>
      </c>
      <c r="J470" s="630">
        <v>5</v>
      </c>
      <c r="K470" s="630">
        <v>165</v>
      </c>
      <c r="L470" s="630">
        <v>108.5</v>
      </c>
      <c r="M470" s="642">
        <v>108.5</v>
      </c>
    </row>
    <row r="471" spans="1:13" ht="15" customHeight="1">
      <c r="A471" s="639">
        <v>11270</v>
      </c>
      <c r="B471" s="627" t="s">
        <v>277</v>
      </c>
      <c r="C471" s="627" t="s">
        <v>275</v>
      </c>
      <c r="D471" s="627" t="s">
        <v>70</v>
      </c>
      <c r="E471" s="628">
        <v>1</v>
      </c>
      <c r="F471" s="628" t="s">
        <v>113</v>
      </c>
      <c r="G471" s="628">
        <v>0</v>
      </c>
      <c r="H471" s="628">
        <v>2</v>
      </c>
      <c r="I471" s="628">
        <v>0</v>
      </c>
      <c r="J471" s="628">
        <v>0</v>
      </c>
      <c r="K471" s="628">
        <v>2</v>
      </c>
      <c r="L471" s="628">
        <v>0</v>
      </c>
      <c r="M471" s="640">
        <v>0</v>
      </c>
    </row>
    <row r="472" spans="1:13" ht="15" customHeight="1">
      <c r="A472" s="641">
        <v>11270</v>
      </c>
      <c r="B472" s="629" t="s">
        <v>277</v>
      </c>
      <c r="C472" s="629" t="s">
        <v>276</v>
      </c>
      <c r="D472" s="629" t="s">
        <v>70</v>
      </c>
      <c r="E472" s="630">
        <v>1</v>
      </c>
      <c r="F472" s="630" t="s">
        <v>116</v>
      </c>
      <c r="G472" s="630">
        <v>0</v>
      </c>
      <c r="H472" s="630">
        <v>2</v>
      </c>
      <c r="I472" s="630">
        <v>34</v>
      </c>
      <c r="J472" s="630">
        <v>0</v>
      </c>
      <c r="K472" s="630">
        <v>36</v>
      </c>
      <c r="L472" s="630">
        <v>34</v>
      </c>
      <c r="M472" s="642">
        <v>34</v>
      </c>
    </row>
    <row r="473" spans="1:13" ht="15" customHeight="1">
      <c r="A473" s="639">
        <v>11270</v>
      </c>
      <c r="B473" s="627" t="s">
        <v>277</v>
      </c>
      <c r="C473" s="627" t="s">
        <v>276</v>
      </c>
      <c r="D473" s="627" t="s">
        <v>70</v>
      </c>
      <c r="E473" s="628">
        <v>1</v>
      </c>
      <c r="F473" s="628" t="s">
        <v>114</v>
      </c>
      <c r="G473" s="628">
        <v>0</v>
      </c>
      <c r="H473" s="628">
        <v>3</v>
      </c>
      <c r="I473" s="628">
        <v>33</v>
      </c>
      <c r="J473" s="628">
        <v>2</v>
      </c>
      <c r="K473" s="628">
        <v>38</v>
      </c>
      <c r="L473" s="628">
        <v>34</v>
      </c>
      <c r="M473" s="640">
        <v>34</v>
      </c>
    </row>
    <row r="474" spans="1:13" ht="15" customHeight="1">
      <c r="A474" s="641">
        <v>11270</v>
      </c>
      <c r="B474" s="629" t="s">
        <v>277</v>
      </c>
      <c r="C474" s="629" t="s">
        <v>66</v>
      </c>
      <c r="D474" s="629" t="s">
        <v>62</v>
      </c>
      <c r="E474" s="630">
        <v>1</v>
      </c>
      <c r="F474" s="630" t="s">
        <v>119</v>
      </c>
      <c r="G474" s="630">
        <v>0</v>
      </c>
      <c r="H474" s="630">
        <v>0</v>
      </c>
      <c r="I474" s="630">
        <v>4</v>
      </c>
      <c r="J474" s="630">
        <v>0</v>
      </c>
      <c r="K474" s="630">
        <v>4</v>
      </c>
      <c r="L474" s="630">
        <v>4</v>
      </c>
      <c r="M474" s="642">
        <v>4</v>
      </c>
    </row>
    <row r="475" spans="1:13" ht="15" customHeight="1">
      <c r="A475" s="639">
        <v>11270</v>
      </c>
      <c r="B475" s="627" t="s">
        <v>277</v>
      </c>
      <c r="C475" s="627" t="s">
        <v>66</v>
      </c>
      <c r="D475" s="627" t="s">
        <v>62</v>
      </c>
      <c r="E475" s="628">
        <v>1</v>
      </c>
      <c r="F475" s="628" t="s">
        <v>122</v>
      </c>
      <c r="G475" s="628">
        <v>0</v>
      </c>
      <c r="H475" s="628">
        <v>2</v>
      </c>
      <c r="I475" s="628">
        <v>1</v>
      </c>
      <c r="J475" s="628">
        <v>0</v>
      </c>
      <c r="K475" s="628">
        <v>3</v>
      </c>
      <c r="L475" s="628">
        <v>1</v>
      </c>
      <c r="M475" s="640">
        <v>1</v>
      </c>
    </row>
    <row r="476" spans="1:13" ht="15" customHeight="1">
      <c r="A476" s="641">
        <v>11270</v>
      </c>
      <c r="B476" s="629" t="s">
        <v>277</v>
      </c>
      <c r="C476" s="629" t="s">
        <v>71</v>
      </c>
      <c r="D476" s="629" t="s">
        <v>70</v>
      </c>
      <c r="E476" s="630">
        <v>1</v>
      </c>
      <c r="F476" s="630" t="s">
        <v>119</v>
      </c>
      <c r="G476" s="630">
        <v>0</v>
      </c>
      <c r="H476" s="630">
        <v>1</v>
      </c>
      <c r="I476" s="630">
        <v>5</v>
      </c>
      <c r="J476" s="630">
        <v>0</v>
      </c>
      <c r="K476" s="630">
        <v>6</v>
      </c>
      <c r="L476" s="630">
        <v>5</v>
      </c>
      <c r="M476" s="642">
        <v>5</v>
      </c>
    </row>
    <row r="477" spans="1:13" ht="15" customHeight="1">
      <c r="A477" s="639">
        <v>11270</v>
      </c>
      <c r="B477" s="627" t="s">
        <v>277</v>
      </c>
      <c r="C477" s="627" t="s">
        <v>71</v>
      </c>
      <c r="D477" s="627" t="s">
        <v>70</v>
      </c>
      <c r="E477" s="628">
        <v>1</v>
      </c>
      <c r="F477" s="628" t="s">
        <v>122</v>
      </c>
      <c r="G477" s="628">
        <v>0</v>
      </c>
      <c r="H477" s="628">
        <v>19</v>
      </c>
      <c r="I477" s="628">
        <v>17</v>
      </c>
      <c r="J477" s="628">
        <v>0</v>
      </c>
      <c r="K477" s="628">
        <v>36</v>
      </c>
      <c r="L477" s="628">
        <v>17</v>
      </c>
      <c r="M477" s="640">
        <v>17</v>
      </c>
    </row>
    <row r="478" spans="1:13" ht="15" customHeight="1">
      <c r="A478" s="643">
        <v>11270</v>
      </c>
      <c r="B478" s="631" t="s">
        <v>163</v>
      </c>
      <c r="C478" s="631"/>
      <c r="D478" s="631"/>
      <c r="E478" s="631"/>
      <c r="F478" s="632" t="s">
        <v>132</v>
      </c>
      <c r="G478" s="632">
        <v>33</v>
      </c>
      <c r="H478" s="632">
        <v>13</v>
      </c>
      <c r="I478" s="632">
        <v>40</v>
      </c>
      <c r="J478" s="632">
        <v>1</v>
      </c>
      <c r="K478" s="632">
        <v>87</v>
      </c>
      <c r="L478" s="632"/>
      <c r="M478" s="644"/>
    </row>
    <row r="479" spans="1:13" ht="15" customHeight="1">
      <c r="A479" s="643">
        <v>11270</v>
      </c>
      <c r="B479" s="631" t="s">
        <v>163</v>
      </c>
      <c r="C479" s="631"/>
      <c r="D479" s="631"/>
      <c r="E479" s="631"/>
      <c r="F479" s="632" t="s">
        <v>109</v>
      </c>
      <c r="G479" s="632">
        <v>0</v>
      </c>
      <c r="H479" s="632">
        <v>67</v>
      </c>
      <c r="I479" s="632">
        <v>140</v>
      </c>
      <c r="J479" s="632">
        <v>5</v>
      </c>
      <c r="K479" s="632">
        <v>212</v>
      </c>
      <c r="L479" s="632"/>
      <c r="M479" s="644"/>
    </row>
    <row r="480" spans="1:13" ht="15" customHeight="1">
      <c r="A480" s="643">
        <v>11270</v>
      </c>
      <c r="B480" s="631" t="s">
        <v>163</v>
      </c>
      <c r="C480" s="631"/>
      <c r="D480" s="631"/>
      <c r="E480" s="631"/>
      <c r="F480" s="632" t="s">
        <v>110</v>
      </c>
      <c r="G480" s="632">
        <v>0</v>
      </c>
      <c r="H480" s="632">
        <v>0</v>
      </c>
      <c r="I480" s="632">
        <v>0</v>
      </c>
      <c r="J480" s="632">
        <v>0</v>
      </c>
      <c r="K480" s="632">
        <v>0</v>
      </c>
      <c r="L480" s="632"/>
      <c r="M480" s="644"/>
    </row>
    <row r="481" spans="1:13" ht="15" customHeight="1">
      <c r="A481" s="643">
        <v>11270</v>
      </c>
      <c r="B481" s="631" t="s">
        <v>163</v>
      </c>
      <c r="C481" s="631"/>
      <c r="D481" s="631"/>
      <c r="E481" s="631"/>
      <c r="F481" s="632" t="s">
        <v>113</v>
      </c>
      <c r="G481" s="632">
        <v>0</v>
      </c>
      <c r="H481" s="632">
        <v>2</v>
      </c>
      <c r="I481" s="632">
        <v>0</v>
      </c>
      <c r="J481" s="632">
        <v>0</v>
      </c>
      <c r="K481" s="632">
        <v>2</v>
      </c>
      <c r="L481" s="632"/>
      <c r="M481" s="644"/>
    </row>
    <row r="482" spans="1:13" ht="15" customHeight="1">
      <c r="A482" s="643">
        <v>11270</v>
      </c>
      <c r="B482" s="631" t="s">
        <v>163</v>
      </c>
      <c r="C482" s="631"/>
      <c r="D482" s="631"/>
      <c r="E482" s="631"/>
      <c r="F482" s="632" t="s">
        <v>116</v>
      </c>
      <c r="G482" s="632">
        <v>0</v>
      </c>
      <c r="H482" s="632">
        <v>2</v>
      </c>
      <c r="I482" s="632">
        <v>34</v>
      </c>
      <c r="J482" s="632">
        <v>0</v>
      </c>
      <c r="K482" s="632">
        <v>36</v>
      </c>
      <c r="L482" s="632"/>
      <c r="M482" s="644"/>
    </row>
    <row r="483" spans="1:13" ht="15" customHeight="1">
      <c r="A483" s="643">
        <v>11270</v>
      </c>
      <c r="B483" s="631" t="s">
        <v>163</v>
      </c>
      <c r="C483" s="631"/>
      <c r="D483" s="631"/>
      <c r="E483" s="631"/>
      <c r="F483" s="632" t="s">
        <v>114</v>
      </c>
      <c r="G483" s="632">
        <v>0</v>
      </c>
      <c r="H483" s="632">
        <v>3</v>
      </c>
      <c r="I483" s="632">
        <v>33</v>
      </c>
      <c r="J483" s="632">
        <v>2</v>
      </c>
      <c r="K483" s="632">
        <v>38</v>
      </c>
      <c r="L483" s="632"/>
      <c r="M483" s="644"/>
    </row>
    <row r="484" spans="1:13" ht="15" customHeight="1">
      <c r="A484" s="643">
        <v>11270</v>
      </c>
      <c r="B484" s="631" t="s">
        <v>163</v>
      </c>
      <c r="C484" s="631"/>
      <c r="D484" s="631"/>
      <c r="E484" s="631"/>
      <c r="F484" s="632" t="s">
        <v>119</v>
      </c>
      <c r="G484" s="632">
        <v>0</v>
      </c>
      <c r="H484" s="632">
        <v>1</v>
      </c>
      <c r="I484" s="632">
        <v>9</v>
      </c>
      <c r="J484" s="632">
        <v>0</v>
      </c>
      <c r="K484" s="632">
        <v>10</v>
      </c>
      <c r="L484" s="632"/>
      <c r="M484" s="644"/>
    </row>
    <row r="485" spans="1:13" ht="15" customHeight="1">
      <c r="A485" s="643">
        <v>11270</v>
      </c>
      <c r="B485" s="631" t="s">
        <v>163</v>
      </c>
      <c r="C485" s="631"/>
      <c r="D485" s="631"/>
      <c r="E485" s="631"/>
      <c r="F485" s="632" t="s">
        <v>122</v>
      </c>
      <c r="G485" s="632">
        <v>0</v>
      </c>
      <c r="H485" s="632">
        <v>21</v>
      </c>
      <c r="I485" s="632">
        <v>18</v>
      </c>
      <c r="J485" s="632">
        <v>0</v>
      </c>
      <c r="K485" s="632">
        <v>39</v>
      </c>
      <c r="L485" s="632"/>
      <c r="M485" s="644"/>
    </row>
    <row r="486" spans="1:13" ht="15" customHeight="1">
      <c r="A486" s="641">
        <v>11280</v>
      </c>
      <c r="B486" s="629" t="s">
        <v>280</v>
      </c>
      <c r="C486" s="629" t="s">
        <v>59</v>
      </c>
      <c r="D486" s="629" t="s">
        <v>60</v>
      </c>
      <c r="E486" s="630">
        <v>1</v>
      </c>
      <c r="F486" s="630" t="s">
        <v>132</v>
      </c>
      <c r="G486" s="630">
        <v>5</v>
      </c>
      <c r="H486" s="630">
        <v>0</v>
      </c>
      <c r="I486" s="630">
        <v>3</v>
      </c>
      <c r="J486" s="630">
        <v>0</v>
      </c>
      <c r="K486" s="630">
        <v>8</v>
      </c>
      <c r="L486" s="630">
        <v>8</v>
      </c>
      <c r="M486" s="642">
        <v>8</v>
      </c>
    </row>
    <row r="487" spans="1:13" ht="15" customHeight="1">
      <c r="A487" s="639">
        <v>11280</v>
      </c>
      <c r="B487" s="627" t="s">
        <v>280</v>
      </c>
      <c r="C487" s="627" t="s">
        <v>59</v>
      </c>
      <c r="D487" s="627" t="s">
        <v>60</v>
      </c>
      <c r="E487" s="628">
        <v>1</v>
      </c>
      <c r="F487" s="628" t="s">
        <v>109</v>
      </c>
      <c r="G487" s="628">
        <v>0</v>
      </c>
      <c r="H487" s="628">
        <v>5</v>
      </c>
      <c r="I487" s="628">
        <v>13</v>
      </c>
      <c r="J487" s="628">
        <v>0</v>
      </c>
      <c r="K487" s="628">
        <v>18</v>
      </c>
      <c r="L487" s="628">
        <v>13</v>
      </c>
      <c r="M487" s="640">
        <v>13</v>
      </c>
    </row>
    <row r="488" spans="1:13" ht="15" customHeight="1">
      <c r="A488" s="641">
        <v>11280</v>
      </c>
      <c r="B488" s="629" t="s">
        <v>280</v>
      </c>
      <c r="C488" s="629" t="s">
        <v>69</v>
      </c>
      <c r="D488" s="629" t="s">
        <v>70</v>
      </c>
      <c r="E488" s="630">
        <v>1</v>
      </c>
      <c r="F488" s="630" t="s">
        <v>132</v>
      </c>
      <c r="G488" s="630">
        <v>7</v>
      </c>
      <c r="H488" s="630">
        <v>5</v>
      </c>
      <c r="I488" s="630">
        <v>21</v>
      </c>
      <c r="J488" s="630">
        <v>0</v>
      </c>
      <c r="K488" s="630">
        <v>33</v>
      </c>
      <c r="L488" s="630">
        <v>28</v>
      </c>
      <c r="M488" s="642">
        <v>28</v>
      </c>
    </row>
    <row r="489" spans="1:13" ht="15" customHeight="1">
      <c r="A489" s="639">
        <v>11280</v>
      </c>
      <c r="B489" s="627" t="s">
        <v>280</v>
      </c>
      <c r="C489" s="627" t="s">
        <v>69</v>
      </c>
      <c r="D489" s="627" t="s">
        <v>70</v>
      </c>
      <c r="E489" s="628">
        <v>1</v>
      </c>
      <c r="F489" s="628" t="s">
        <v>109</v>
      </c>
      <c r="G489" s="628">
        <v>0</v>
      </c>
      <c r="H489" s="628">
        <v>27</v>
      </c>
      <c r="I489" s="628">
        <v>50</v>
      </c>
      <c r="J489" s="628">
        <v>2</v>
      </c>
      <c r="K489" s="628">
        <v>79</v>
      </c>
      <c r="L489" s="628">
        <v>51</v>
      </c>
      <c r="M489" s="640">
        <v>51</v>
      </c>
    </row>
    <row r="490" spans="1:13" ht="15" customHeight="1">
      <c r="A490" s="641">
        <v>11280</v>
      </c>
      <c r="B490" s="629" t="s">
        <v>280</v>
      </c>
      <c r="C490" s="629" t="s">
        <v>88</v>
      </c>
      <c r="D490" s="629" t="s">
        <v>89</v>
      </c>
      <c r="E490" s="630">
        <v>1.2</v>
      </c>
      <c r="F490" s="630" t="s">
        <v>132</v>
      </c>
      <c r="G490" s="630">
        <v>22</v>
      </c>
      <c r="H490" s="630">
        <v>5</v>
      </c>
      <c r="I490" s="630">
        <v>17</v>
      </c>
      <c r="J490" s="630">
        <v>1</v>
      </c>
      <c r="K490" s="630">
        <v>45</v>
      </c>
      <c r="L490" s="630">
        <v>39.5</v>
      </c>
      <c r="M490" s="642">
        <v>47.4</v>
      </c>
    </row>
    <row r="491" spans="1:13" ht="15" customHeight="1">
      <c r="A491" s="639">
        <v>11280</v>
      </c>
      <c r="B491" s="627" t="s">
        <v>280</v>
      </c>
      <c r="C491" s="627" t="s">
        <v>88</v>
      </c>
      <c r="D491" s="627" t="s">
        <v>89</v>
      </c>
      <c r="E491" s="628">
        <v>1.2</v>
      </c>
      <c r="F491" s="628" t="s">
        <v>109</v>
      </c>
      <c r="G491" s="628">
        <v>0</v>
      </c>
      <c r="H491" s="628">
        <v>20</v>
      </c>
      <c r="I491" s="628">
        <v>116</v>
      </c>
      <c r="J491" s="628">
        <v>2</v>
      </c>
      <c r="K491" s="628">
        <v>138</v>
      </c>
      <c r="L491" s="628">
        <v>117</v>
      </c>
      <c r="M491" s="640">
        <v>140.4</v>
      </c>
    </row>
    <row r="492" spans="1:13" ht="15" customHeight="1">
      <c r="A492" s="641">
        <v>11280</v>
      </c>
      <c r="B492" s="629" t="s">
        <v>280</v>
      </c>
      <c r="C492" s="629" t="s">
        <v>278</v>
      </c>
      <c r="D492" s="629" t="s">
        <v>279</v>
      </c>
      <c r="E492" s="630">
        <v>1</v>
      </c>
      <c r="F492" s="630" t="s">
        <v>132</v>
      </c>
      <c r="G492" s="630">
        <v>23</v>
      </c>
      <c r="H492" s="630">
        <v>3</v>
      </c>
      <c r="I492" s="630">
        <v>14</v>
      </c>
      <c r="J492" s="630">
        <v>0</v>
      </c>
      <c r="K492" s="630">
        <v>40</v>
      </c>
      <c r="L492" s="630">
        <v>37</v>
      </c>
      <c r="M492" s="642">
        <v>37</v>
      </c>
    </row>
    <row r="493" spans="1:13" ht="15" customHeight="1">
      <c r="A493" s="639">
        <v>11280</v>
      </c>
      <c r="B493" s="627" t="s">
        <v>280</v>
      </c>
      <c r="C493" s="627" t="s">
        <v>278</v>
      </c>
      <c r="D493" s="627" t="s">
        <v>279</v>
      </c>
      <c r="E493" s="628">
        <v>1</v>
      </c>
      <c r="F493" s="628" t="s">
        <v>109</v>
      </c>
      <c r="G493" s="628">
        <v>0</v>
      </c>
      <c r="H493" s="628">
        <v>17</v>
      </c>
      <c r="I493" s="628">
        <v>93</v>
      </c>
      <c r="J493" s="628">
        <v>1</v>
      </c>
      <c r="K493" s="628">
        <v>111</v>
      </c>
      <c r="L493" s="628">
        <v>93.5</v>
      </c>
      <c r="M493" s="640">
        <v>93.5</v>
      </c>
    </row>
    <row r="494" spans="1:13" ht="15" customHeight="1">
      <c r="A494" s="641">
        <v>11280</v>
      </c>
      <c r="B494" s="629" t="s">
        <v>280</v>
      </c>
      <c r="C494" s="629" t="s">
        <v>63</v>
      </c>
      <c r="D494" s="629" t="s">
        <v>60</v>
      </c>
      <c r="E494" s="630">
        <v>1</v>
      </c>
      <c r="F494" s="630" t="s">
        <v>116</v>
      </c>
      <c r="G494" s="630">
        <v>0</v>
      </c>
      <c r="H494" s="630">
        <v>0</v>
      </c>
      <c r="I494" s="630">
        <v>1</v>
      </c>
      <c r="J494" s="630">
        <v>0</v>
      </c>
      <c r="K494" s="630">
        <v>1</v>
      </c>
      <c r="L494" s="630">
        <v>1</v>
      </c>
      <c r="M494" s="642">
        <v>1</v>
      </c>
    </row>
    <row r="495" spans="1:13" ht="15" customHeight="1">
      <c r="A495" s="639">
        <v>11280</v>
      </c>
      <c r="B495" s="627" t="s">
        <v>280</v>
      </c>
      <c r="C495" s="627" t="s">
        <v>63</v>
      </c>
      <c r="D495" s="627" t="s">
        <v>60</v>
      </c>
      <c r="E495" s="628">
        <v>1</v>
      </c>
      <c r="F495" s="628" t="s">
        <v>114</v>
      </c>
      <c r="G495" s="628">
        <v>0</v>
      </c>
      <c r="H495" s="628">
        <v>1</v>
      </c>
      <c r="I495" s="628">
        <v>7</v>
      </c>
      <c r="J495" s="628">
        <v>0</v>
      </c>
      <c r="K495" s="628">
        <v>8</v>
      </c>
      <c r="L495" s="628">
        <v>7</v>
      </c>
      <c r="M495" s="640">
        <v>7</v>
      </c>
    </row>
    <row r="496" spans="1:13" ht="15" customHeight="1">
      <c r="A496" s="641">
        <v>11280</v>
      </c>
      <c r="B496" s="629" t="s">
        <v>280</v>
      </c>
      <c r="C496" s="629" t="s">
        <v>276</v>
      </c>
      <c r="D496" s="629" t="s">
        <v>70</v>
      </c>
      <c r="E496" s="630">
        <v>1</v>
      </c>
      <c r="F496" s="630" t="s">
        <v>116</v>
      </c>
      <c r="G496" s="630">
        <v>0</v>
      </c>
      <c r="H496" s="630">
        <v>2</v>
      </c>
      <c r="I496" s="630">
        <v>20</v>
      </c>
      <c r="J496" s="630">
        <v>0</v>
      </c>
      <c r="K496" s="630">
        <v>22</v>
      </c>
      <c r="L496" s="630">
        <v>20</v>
      </c>
      <c r="M496" s="642">
        <v>20</v>
      </c>
    </row>
    <row r="497" spans="1:13" ht="15" customHeight="1">
      <c r="A497" s="639">
        <v>11280</v>
      </c>
      <c r="B497" s="627" t="s">
        <v>280</v>
      </c>
      <c r="C497" s="627" t="s">
        <v>276</v>
      </c>
      <c r="D497" s="627" t="s">
        <v>70</v>
      </c>
      <c r="E497" s="628">
        <v>1</v>
      </c>
      <c r="F497" s="628" t="s">
        <v>114</v>
      </c>
      <c r="G497" s="628">
        <v>0</v>
      </c>
      <c r="H497" s="628">
        <v>12</v>
      </c>
      <c r="I497" s="628">
        <v>16</v>
      </c>
      <c r="J497" s="628">
        <v>0</v>
      </c>
      <c r="K497" s="628">
        <v>28</v>
      </c>
      <c r="L497" s="628">
        <v>16</v>
      </c>
      <c r="M497" s="640">
        <v>16</v>
      </c>
    </row>
    <row r="498" spans="1:13" ht="15" customHeight="1">
      <c r="A498" s="641">
        <v>11280</v>
      </c>
      <c r="B498" s="629" t="s">
        <v>280</v>
      </c>
      <c r="C498" s="629" t="s">
        <v>90</v>
      </c>
      <c r="D498" s="629" t="s">
        <v>91</v>
      </c>
      <c r="E498" s="630">
        <v>1.2</v>
      </c>
      <c r="F498" s="630" t="s">
        <v>116</v>
      </c>
      <c r="G498" s="630">
        <v>0</v>
      </c>
      <c r="H498" s="630">
        <v>1</v>
      </c>
      <c r="I498" s="630">
        <v>29</v>
      </c>
      <c r="J498" s="630">
        <v>0</v>
      </c>
      <c r="K498" s="630">
        <v>30</v>
      </c>
      <c r="L498" s="630">
        <v>29</v>
      </c>
      <c r="M498" s="642">
        <v>34.8</v>
      </c>
    </row>
    <row r="499" spans="1:13" ht="15" customHeight="1">
      <c r="A499" s="639">
        <v>11280</v>
      </c>
      <c r="B499" s="627" t="s">
        <v>280</v>
      </c>
      <c r="C499" s="627" t="s">
        <v>90</v>
      </c>
      <c r="D499" s="627" t="s">
        <v>91</v>
      </c>
      <c r="E499" s="628">
        <v>1.2</v>
      </c>
      <c r="F499" s="628" t="s">
        <v>114</v>
      </c>
      <c r="G499" s="628">
        <v>0</v>
      </c>
      <c r="H499" s="628">
        <v>9</v>
      </c>
      <c r="I499" s="628">
        <v>20</v>
      </c>
      <c r="J499" s="628">
        <v>0</v>
      </c>
      <c r="K499" s="628">
        <v>29</v>
      </c>
      <c r="L499" s="628">
        <v>20</v>
      </c>
      <c r="M499" s="640">
        <v>24</v>
      </c>
    </row>
    <row r="500" spans="1:13" ht="15" customHeight="1">
      <c r="A500" s="641">
        <v>11280</v>
      </c>
      <c r="B500" s="629" t="s">
        <v>280</v>
      </c>
      <c r="C500" s="629" t="s">
        <v>282</v>
      </c>
      <c r="D500" s="629" t="s">
        <v>279</v>
      </c>
      <c r="E500" s="630">
        <v>1</v>
      </c>
      <c r="F500" s="630" t="s">
        <v>116</v>
      </c>
      <c r="G500" s="630">
        <v>0</v>
      </c>
      <c r="H500" s="630">
        <v>0</v>
      </c>
      <c r="I500" s="630">
        <v>38</v>
      </c>
      <c r="J500" s="630">
        <v>0</v>
      </c>
      <c r="K500" s="630">
        <v>38</v>
      </c>
      <c r="L500" s="630">
        <v>38</v>
      </c>
      <c r="M500" s="642">
        <v>38</v>
      </c>
    </row>
    <row r="501" spans="1:13" ht="15" customHeight="1">
      <c r="A501" s="639">
        <v>11280</v>
      </c>
      <c r="B501" s="627" t="s">
        <v>280</v>
      </c>
      <c r="C501" s="627" t="s">
        <v>282</v>
      </c>
      <c r="D501" s="627" t="s">
        <v>279</v>
      </c>
      <c r="E501" s="628">
        <v>1</v>
      </c>
      <c r="F501" s="628" t="s">
        <v>114</v>
      </c>
      <c r="G501" s="628">
        <v>0</v>
      </c>
      <c r="H501" s="628">
        <v>3</v>
      </c>
      <c r="I501" s="628">
        <v>45</v>
      </c>
      <c r="J501" s="628">
        <v>1</v>
      </c>
      <c r="K501" s="628">
        <v>49</v>
      </c>
      <c r="L501" s="628">
        <v>45.5</v>
      </c>
      <c r="M501" s="640">
        <v>45.5</v>
      </c>
    </row>
    <row r="502" spans="1:13" ht="15" customHeight="1">
      <c r="A502" s="641">
        <v>11280</v>
      </c>
      <c r="B502" s="629" t="s">
        <v>280</v>
      </c>
      <c r="C502" s="629" t="s">
        <v>71</v>
      </c>
      <c r="D502" s="629" t="s">
        <v>70</v>
      </c>
      <c r="E502" s="630">
        <v>1</v>
      </c>
      <c r="F502" s="630" t="s">
        <v>119</v>
      </c>
      <c r="G502" s="630">
        <v>0</v>
      </c>
      <c r="H502" s="630">
        <v>1</v>
      </c>
      <c r="I502" s="630">
        <v>9</v>
      </c>
      <c r="J502" s="630">
        <v>0</v>
      </c>
      <c r="K502" s="630">
        <v>10</v>
      </c>
      <c r="L502" s="630">
        <v>9</v>
      </c>
      <c r="M502" s="642">
        <v>9</v>
      </c>
    </row>
    <row r="503" spans="1:13" ht="15" customHeight="1">
      <c r="A503" s="639">
        <v>11280</v>
      </c>
      <c r="B503" s="627" t="s">
        <v>280</v>
      </c>
      <c r="C503" s="627" t="s">
        <v>71</v>
      </c>
      <c r="D503" s="627" t="s">
        <v>70</v>
      </c>
      <c r="E503" s="628">
        <v>1</v>
      </c>
      <c r="F503" s="628" t="s">
        <v>122</v>
      </c>
      <c r="G503" s="628">
        <v>0</v>
      </c>
      <c r="H503" s="628">
        <v>11</v>
      </c>
      <c r="I503" s="628">
        <v>18</v>
      </c>
      <c r="J503" s="628">
        <v>0</v>
      </c>
      <c r="K503" s="628">
        <v>29</v>
      </c>
      <c r="L503" s="628">
        <v>18</v>
      </c>
      <c r="M503" s="640">
        <v>18</v>
      </c>
    </row>
    <row r="504" spans="1:13" ht="15" customHeight="1">
      <c r="A504" s="643">
        <v>11280</v>
      </c>
      <c r="B504" s="631" t="s">
        <v>163</v>
      </c>
      <c r="C504" s="631"/>
      <c r="D504" s="631"/>
      <c r="E504" s="631"/>
      <c r="F504" s="632" t="s">
        <v>132</v>
      </c>
      <c r="G504" s="632">
        <v>57</v>
      </c>
      <c r="H504" s="632">
        <v>13</v>
      </c>
      <c r="I504" s="632">
        <v>55</v>
      </c>
      <c r="J504" s="632">
        <v>1</v>
      </c>
      <c r="K504" s="632">
        <v>126</v>
      </c>
      <c r="L504" s="632"/>
      <c r="M504" s="644"/>
    </row>
    <row r="505" spans="1:13" ht="15" customHeight="1">
      <c r="A505" s="643">
        <v>11280</v>
      </c>
      <c r="B505" s="631" t="s">
        <v>163</v>
      </c>
      <c r="C505" s="631"/>
      <c r="D505" s="631"/>
      <c r="E505" s="631"/>
      <c r="F505" s="632" t="s">
        <v>109</v>
      </c>
      <c r="G505" s="632">
        <v>0</v>
      </c>
      <c r="H505" s="632">
        <v>69</v>
      </c>
      <c r="I505" s="632">
        <v>272</v>
      </c>
      <c r="J505" s="632">
        <v>5</v>
      </c>
      <c r="K505" s="632">
        <v>346</v>
      </c>
      <c r="L505" s="632"/>
      <c r="M505" s="644"/>
    </row>
    <row r="506" spans="1:13" ht="15" customHeight="1">
      <c r="A506" s="643">
        <v>11280</v>
      </c>
      <c r="B506" s="631" t="s">
        <v>163</v>
      </c>
      <c r="C506" s="631"/>
      <c r="D506" s="631"/>
      <c r="E506" s="631"/>
      <c r="F506" s="632" t="s">
        <v>110</v>
      </c>
      <c r="G506" s="632">
        <v>0</v>
      </c>
      <c r="H506" s="632">
        <v>0</v>
      </c>
      <c r="I506" s="632">
        <v>0</v>
      </c>
      <c r="J506" s="632">
        <v>0</v>
      </c>
      <c r="K506" s="632">
        <v>0</v>
      </c>
      <c r="L506" s="632"/>
      <c r="M506" s="644"/>
    </row>
    <row r="507" spans="1:14" ht="15" customHeight="1">
      <c r="A507" s="643">
        <v>11280</v>
      </c>
      <c r="B507" s="631" t="s">
        <v>163</v>
      </c>
      <c r="C507" s="631"/>
      <c r="D507" s="631"/>
      <c r="E507" s="631"/>
      <c r="F507" s="632" t="s">
        <v>113</v>
      </c>
      <c r="G507" s="632">
        <v>0</v>
      </c>
      <c r="H507" s="632">
        <v>0</v>
      </c>
      <c r="I507" s="632">
        <v>0</v>
      </c>
      <c r="J507" s="632">
        <v>0</v>
      </c>
      <c r="K507" s="632">
        <v>0</v>
      </c>
      <c r="L507" s="632"/>
      <c r="M507" s="644"/>
      <c r="N507" t="s">
        <v>696</v>
      </c>
    </row>
    <row r="508" spans="1:14" ht="15" customHeight="1">
      <c r="A508" s="643">
        <v>11280</v>
      </c>
      <c r="B508" s="631" t="s">
        <v>163</v>
      </c>
      <c r="C508" s="631"/>
      <c r="D508" s="631"/>
      <c r="E508" s="631"/>
      <c r="F508" s="632" t="s">
        <v>116</v>
      </c>
      <c r="G508" s="632">
        <v>0</v>
      </c>
      <c r="H508" s="632">
        <v>3</v>
      </c>
      <c r="I508" s="632">
        <v>88</v>
      </c>
      <c r="J508" s="632">
        <v>0</v>
      </c>
      <c r="K508" s="632">
        <v>91</v>
      </c>
      <c r="L508" s="632"/>
      <c r="M508" s="644"/>
      <c r="N508" t="s">
        <v>697</v>
      </c>
    </row>
    <row r="509" spans="1:13" ht="15" customHeight="1">
      <c r="A509" s="643">
        <v>11280</v>
      </c>
      <c r="B509" s="631" t="s">
        <v>163</v>
      </c>
      <c r="C509" s="631"/>
      <c r="D509" s="631"/>
      <c r="E509" s="631"/>
      <c r="F509" s="632" t="s">
        <v>114</v>
      </c>
      <c r="G509" s="632">
        <v>0</v>
      </c>
      <c r="H509" s="632">
        <v>25</v>
      </c>
      <c r="I509" s="632">
        <v>88</v>
      </c>
      <c r="J509" s="632">
        <v>1</v>
      </c>
      <c r="K509" s="632">
        <v>114</v>
      </c>
      <c r="L509" s="632"/>
      <c r="M509" s="644"/>
    </row>
    <row r="510" spans="1:14" ht="15" customHeight="1">
      <c r="A510" s="643">
        <v>11280</v>
      </c>
      <c r="B510" s="631" t="s">
        <v>163</v>
      </c>
      <c r="C510" s="631"/>
      <c r="D510" s="631"/>
      <c r="E510" s="631"/>
      <c r="F510" s="632" t="s">
        <v>119</v>
      </c>
      <c r="G510" s="632">
        <v>0</v>
      </c>
      <c r="H510" s="632">
        <v>1</v>
      </c>
      <c r="I510" s="632">
        <v>9</v>
      </c>
      <c r="J510" s="632">
        <v>0</v>
      </c>
      <c r="K510" s="632">
        <v>10</v>
      </c>
      <c r="L510" s="632"/>
      <c r="M510" s="644"/>
      <c r="N510" t="s">
        <v>699</v>
      </c>
    </row>
    <row r="511" spans="1:13" ht="15" customHeight="1">
      <c r="A511" s="643">
        <v>11280</v>
      </c>
      <c r="B511" s="631" t="s">
        <v>163</v>
      </c>
      <c r="C511" s="631"/>
      <c r="D511" s="631"/>
      <c r="E511" s="631"/>
      <c r="F511" s="632" t="s">
        <v>122</v>
      </c>
      <c r="G511" s="632">
        <v>0</v>
      </c>
      <c r="H511" s="632">
        <v>11</v>
      </c>
      <c r="I511" s="632">
        <v>18</v>
      </c>
      <c r="J511" s="632">
        <v>0</v>
      </c>
      <c r="K511" s="632">
        <v>29</v>
      </c>
      <c r="L511" s="632"/>
      <c r="M511" s="644"/>
    </row>
    <row r="512" spans="1:13" ht="15" customHeight="1">
      <c r="A512" s="641">
        <v>11310</v>
      </c>
      <c r="B512" s="629" t="s">
        <v>283</v>
      </c>
      <c r="C512" s="629" t="s">
        <v>284</v>
      </c>
      <c r="D512" s="629" t="s">
        <v>285</v>
      </c>
      <c r="E512" s="630">
        <v>2.25</v>
      </c>
      <c r="F512" s="630" t="s">
        <v>132</v>
      </c>
      <c r="G512" s="630">
        <v>71</v>
      </c>
      <c r="H512" s="630">
        <v>1</v>
      </c>
      <c r="I512" s="630">
        <v>42</v>
      </c>
      <c r="J512" s="630">
        <v>0</v>
      </c>
      <c r="K512" s="630">
        <v>114</v>
      </c>
      <c r="L512" s="630">
        <v>113</v>
      </c>
      <c r="M512" s="642">
        <v>254.25</v>
      </c>
    </row>
    <row r="513" spans="1:13" ht="15" customHeight="1">
      <c r="A513" s="639">
        <v>11310</v>
      </c>
      <c r="B513" s="627" t="s">
        <v>283</v>
      </c>
      <c r="C513" s="627" t="s">
        <v>284</v>
      </c>
      <c r="D513" s="627" t="s">
        <v>285</v>
      </c>
      <c r="E513" s="628">
        <v>2.25</v>
      </c>
      <c r="F513" s="628" t="s">
        <v>109</v>
      </c>
      <c r="G513" s="628">
        <v>0</v>
      </c>
      <c r="H513" s="628">
        <v>6</v>
      </c>
      <c r="I513" s="628">
        <v>96</v>
      </c>
      <c r="J513" s="628">
        <v>6</v>
      </c>
      <c r="K513" s="628">
        <v>108</v>
      </c>
      <c r="L513" s="628">
        <v>99</v>
      </c>
      <c r="M513" s="640">
        <v>222.75</v>
      </c>
    </row>
    <row r="514" spans="1:13" ht="15" customHeight="1">
      <c r="A514" s="641">
        <v>11310</v>
      </c>
      <c r="B514" s="629" t="s">
        <v>283</v>
      </c>
      <c r="C514" s="629" t="s">
        <v>286</v>
      </c>
      <c r="D514" s="629" t="s">
        <v>287</v>
      </c>
      <c r="E514" s="630">
        <v>1.65</v>
      </c>
      <c r="F514" s="630" t="s">
        <v>132</v>
      </c>
      <c r="G514" s="630">
        <v>63</v>
      </c>
      <c r="H514" s="630">
        <v>3</v>
      </c>
      <c r="I514" s="630">
        <v>21</v>
      </c>
      <c r="J514" s="630">
        <v>0</v>
      </c>
      <c r="K514" s="630">
        <v>87</v>
      </c>
      <c r="L514" s="630">
        <v>84</v>
      </c>
      <c r="M514" s="642">
        <v>138.6</v>
      </c>
    </row>
    <row r="515" spans="1:13" ht="15" customHeight="1">
      <c r="A515" s="639">
        <v>11310</v>
      </c>
      <c r="B515" s="627" t="s">
        <v>283</v>
      </c>
      <c r="C515" s="627" t="s">
        <v>286</v>
      </c>
      <c r="D515" s="627" t="s">
        <v>287</v>
      </c>
      <c r="E515" s="628">
        <v>1.65</v>
      </c>
      <c r="F515" s="628" t="s">
        <v>109</v>
      </c>
      <c r="G515" s="628">
        <v>0</v>
      </c>
      <c r="H515" s="628">
        <v>20</v>
      </c>
      <c r="I515" s="628">
        <v>115</v>
      </c>
      <c r="J515" s="628">
        <v>1</v>
      </c>
      <c r="K515" s="628">
        <v>136</v>
      </c>
      <c r="L515" s="628">
        <v>115.5</v>
      </c>
      <c r="M515" s="640">
        <v>190.58</v>
      </c>
    </row>
    <row r="516" spans="1:13" ht="15" customHeight="1">
      <c r="A516" s="641">
        <v>11310</v>
      </c>
      <c r="B516" s="629" t="s">
        <v>283</v>
      </c>
      <c r="C516" s="629" t="s">
        <v>288</v>
      </c>
      <c r="D516" s="629" t="s">
        <v>74</v>
      </c>
      <c r="E516" s="630">
        <v>1.65</v>
      </c>
      <c r="F516" s="630" t="s">
        <v>132</v>
      </c>
      <c r="G516" s="630">
        <v>29</v>
      </c>
      <c r="H516" s="630">
        <v>0</v>
      </c>
      <c r="I516" s="630">
        <v>11</v>
      </c>
      <c r="J516" s="630">
        <v>0</v>
      </c>
      <c r="K516" s="630">
        <v>40</v>
      </c>
      <c r="L516" s="630">
        <v>40</v>
      </c>
      <c r="M516" s="642">
        <v>66</v>
      </c>
    </row>
    <row r="517" spans="1:13" ht="15" customHeight="1">
      <c r="A517" s="639">
        <v>11310</v>
      </c>
      <c r="B517" s="627" t="s">
        <v>283</v>
      </c>
      <c r="C517" s="627" t="s">
        <v>288</v>
      </c>
      <c r="D517" s="627" t="s">
        <v>74</v>
      </c>
      <c r="E517" s="628">
        <v>1.65</v>
      </c>
      <c r="F517" s="628" t="s">
        <v>109</v>
      </c>
      <c r="G517" s="628">
        <v>0</v>
      </c>
      <c r="H517" s="628">
        <v>8</v>
      </c>
      <c r="I517" s="628">
        <v>57</v>
      </c>
      <c r="J517" s="628">
        <v>5</v>
      </c>
      <c r="K517" s="628">
        <v>70</v>
      </c>
      <c r="L517" s="628">
        <v>59.5</v>
      </c>
      <c r="M517" s="640">
        <v>98.18</v>
      </c>
    </row>
    <row r="518" spans="1:13" ht="15" customHeight="1">
      <c r="A518" s="641">
        <v>11310</v>
      </c>
      <c r="B518" s="629" t="s">
        <v>283</v>
      </c>
      <c r="C518" s="629" t="s">
        <v>289</v>
      </c>
      <c r="D518" s="629" t="s">
        <v>220</v>
      </c>
      <c r="E518" s="630">
        <v>2.8</v>
      </c>
      <c r="F518" s="630" t="s">
        <v>132</v>
      </c>
      <c r="G518" s="630">
        <v>42</v>
      </c>
      <c r="H518" s="630">
        <v>1</v>
      </c>
      <c r="I518" s="630">
        <v>14</v>
      </c>
      <c r="J518" s="630">
        <v>0</v>
      </c>
      <c r="K518" s="630">
        <v>57</v>
      </c>
      <c r="L518" s="630">
        <v>56</v>
      </c>
      <c r="M518" s="642">
        <v>156.8</v>
      </c>
    </row>
    <row r="519" spans="1:13" ht="15" customHeight="1">
      <c r="A519" s="639">
        <v>11310</v>
      </c>
      <c r="B519" s="627" t="s">
        <v>283</v>
      </c>
      <c r="C519" s="627" t="s">
        <v>289</v>
      </c>
      <c r="D519" s="627" t="s">
        <v>220</v>
      </c>
      <c r="E519" s="628">
        <v>2.8</v>
      </c>
      <c r="F519" s="628" t="s">
        <v>109</v>
      </c>
      <c r="G519" s="628">
        <v>0</v>
      </c>
      <c r="H519" s="628">
        <v>5</v>
      </c>
      <c r="I519" s="628">
        <v>79</v>
      </c>
      <c r="J519" s="628">
        <v>2</v>
      </c>
      <c r="K519" s="628">
        <v>86</v>
      </c>
      <c r="L519" s="628">
        <v>80</v>
      </c>
      <c r="M519" s="640">
        <v>224</v>
      </c>
    </row>
    <row r="520" spans="1:13" ht="15" customHeight="1">
      <c r="A520" s="641">
        <v>11310</v>
      </c>
      <c r="B520" s="629" t="s">
        <v>283</v>
      </c>
      <c r="C520" s="629" t="s">
        <v>290</v>
      </c>
      <c r="D520" s="629" t="s">
        <v>291</v>
      </c>
      <c r="E520" s="630">
        <v>2.8</v>
      </c>
      <c r="F520" s="630" t="s">
        <v>132</v>
      </c>
      <c r="G520" s="630">
        <v>74</v>
      </c>
      <c r="H520" s="630">
        <v>2</v>
      </c>
      <c r="I520" s="630">
        <v>21</v>
      </c>
      <c r="J520" s="630">
        <v>0</v>
      </c>
      <c r="K520" s="630">
        <v>97</v>
      </c>
      <c r="L520" s="630">
        <v>95</v>
      </c>
      <c r="M520" s="642">
        <v>266</v>
      </c>
    </row>
    <row r="521" spans="1:13" ht="15" customHeight="1">
      <c r="A521" s="639">
        <v>11310</v>
      </c>
      <c r="B521" s="627" t="s">
        <v>283</v>
      </c>
      <c r="C521" s="627" t="s">
        <v>290</v>
      </c>
      <c r="D521" s="627" t="s">
        <v>291</v>
      </c>
      <c r="E521" s="628">
        <v>2.8</v>
      </c>
      <c r="F521" s="628" t="s">
        <v>109</v>
      </c>
      <c r="G521" s="628">
        <v>0</v>
      </c>
      <c r="H521" s="628">
        <v>6</v>
      </c>
      <c r="I521" s="628">
        <v>106</v>
      </c>
      <c r="J521" s="628">
        <v>4</v>
      </c>
      <c r="K521" s="628">
        <v>116</v>
      </c>
      <c r="L521" s="628">
        <v>108</v>
      </c>
      <c r="M521" s="640">
        <v>302.4</v>
      </c>
    </row>
    <row r="522" spans="1:13" ht="15" customHeight="1">
      <c r="A522" s="641">
        <v>11310</v>
      </c>
      <c r="B522" s="629" t="s">
        <v>283</v>
      </c>
      <c r="C522" s="629" t="s">
        <v>292</v>
      </c>
      <c r="D522" s="629" t="s">
        <v>293</v>
      </c>
      <c r="E522" s="630">
        <v>2.8</v>
      </c>
      <c r="F522" s="630" t="s">
        <v>132</v>
      </c>
      <c r="G522" s="630">
        <v>33</v>
      </c>
      <c r="H522" s="630">
        <v>0</v>
      </c>
      <c r="I522" s="630">
        <v>11</v>
      </c>
      <c r="J522" s="630">
        <v>0</v>
      </c>
      <c r="K522" s="630">
        <v>44</v>
      </c>
      <c r="L522" s="630">
        <v>44</v>
      </c>
      <c r="M522" s="642">
        <v>123.2</v>
      </c>
    </row>
    <row r="523" spans="1:13" ht="15" customHeight="1">
      <c r="A523" s="639">
        <v>11310</v>
      </c>
      <c r="B523" s="627" t="s">
        <v>283</v>
      </c>
      <c r="C523" s="627" t="s">
        <v>292</v>
      </c>
      <c r="D523" s="627" t="s">
        <v>293</v>
      </c>
      <c r="E523" s="628">
        <v>2.8</v>
      </c>
      <c r="F523" s="628" t="s">
        <v>109</v>
      </c>
      <c r="G523" s="628">
        <v>0</v>
      </c>
      <c r="H523" s="628">
        <v>8</v>
      </c>
      <c r="I523" s="628">
        <v>60</v>
      </c>
      <c r="J523" s="628">
        <v>2</v>
      </c>
      <c r="K523" s="628">
        <v>70</v>
      </c>
      <c r="L523" s="628">
        <v>61</v>
      </c>
      <c r="M523" s="640">
        <v>170.8</v>
      </c>
    </row>
    <row r="524" spans="1:13" ht="15" customHeight="1">
      <c r="A524" s="641">
        <v>11310</v>
      </c>
      <c r="B524" s="629" t="s">
        <v>283</v>
      </c>
      <c r="C524" s="629" t="s">
        <v>294</v>
      </c>
      <c r="D524" s="629" t="s">
        <v>295</v>
      </c>
      <c r="E524" s="630">
        <v>2.25</v>
      </c>
      <c r="F524" s="630" t="s">
        <v>132</v>
      </c>
      <c r="G524" s="630">
        <v>180</v>
      </c>
      <c r="H524" s="630">
        <v>3</v>
      </c>
      <c r="I524" s="630">
        <v>56</v>
      </c>
      <c r="J524" s="630">
        <v>2</v>
      </c>
      <c r="K524" s="630">
        <v>241</v>
      </c>
      <c r="L524" s="630">
        <v>237</v>
      </c>
      <c r="M524" s="642">
        <v>533.25</v>
      </c>
    </row>
    <row r="525" spans="1:13" ht="15" customHeight="1">
      <c r="A525" s="639">
        <v>11310</v>
      </c>
      <c r="B525" s="627" t="s">
        <v>283</v>
      </c>
      <c r="C525" s="627" t="s">
        <v>294</v>
      </c>
      <c r="D525" s="627" t="s">
        <v>295</v>
      </c>
      <c r="E525" s="628">
        <v>2.25</v>
      </c>
      <c r="F525" s="628" t="s">
        <v>109</v>
      </c>
      <c r="G525" s="628">
        <v>0</v>
      </c>
      <c r="H525" s="628">
        <v>45</v>
      </c>
      <c r="I525" s="628">
        <v>391</v>
      </c>
      <c r="J525" s="628">
        <v>9</v>
      </c>
      <c r="K525" s="628">
        <v>445</v>
      </c>
      <c r="L525" s="628">
        <v>395.5</v>
      </c>
      <c r="M525" s="640">
        <v>889.88</v>
      </c>
    </row>
    <row r="526" spans="1:13" ht="15" customHeight="1">
      <c r="A526" s="641">
        <v>11310</v>
      </c>
      <c r="B526" s="629" t="s">
        <v>283</v>
      </c>
      <c r="C526" s="629" t="s">
        <v>296</v>
      </c>
      <c r="D526" s="629" t="s">
        <v>273</v>
      </c>
      <c r="E526" s="630">
        <v>1.65</v>
      </c>
      <c r="F526" s="630" t="s">
        <v>132</v>
      </c>
      <c r="G526" s="630">
        <v>16</v>
      </c>
      <c r="H526" s="630">
        <v>0</v>
      </c>
      <c r="I526" s="630">
        <v>5</v>
      </c>
      <c r="J526" s="630">
        <v>0</v>
      </c>
      <c r="K526" s="630">
        <v>21</v>
      </c>
      <c r="L526" s="630">
        <v>21</v>
      </c>
      <c r="M526" s="642">
        <v>34.65</v>
      </c>
    </row>
    <row r="527" spans="1:13" ht="15" customHeight="1">
      <c r="A527" s="639">
        <v>11310</v>
      </c>
      <c r="B527" s="627" t="s">
        <v>283</v>
      </c>
      <c r="C527" s="627" t="s">
        <v>296</v>
      </c>
      <c r="D527" s="627" t="s">
        <v>273</v>
      </c>
      <c r="E527" s="628">
        <v>1.65</v>
      </c>
      <c r="F527" s="628" t="s">
        <v>109</v>
      </c>
      <c r="G527" s="628">
        <v>0</v>
      </c>
      <c r="H527" s="628">
        <v>8</v>
      </c>
      <c r="I527" s="628">
        <v>39</v>
      </c>
      <c r="J527" s="628">
        <v>1</v>
      </c>
      <c r="K527" s="628">
        <v>48</v>
      </c>
      <c r="L527" s="628">
        <v>39.5</v>
      </c>
      <c r="M527" s="640">
        <v>65.18</v>
      </c>
    </row>
    <row r="528" spans="1:13" ht="15" customHeight="1">
      <c r="A528" s="641">
        <v>11310</v>
      </c>
      <c r="B528" s="629" t="s">
        <v>283</v>
      </c>
      <c r="C528" s="629" t="s">
        <v>297</v>
      </c>
      <c r="D528" s="629" t="s">
        <v>298</v>
      </c>
      <c r="E528" s="630">
        <v>2.8</v>
      </c>
      <c r="F528" s="630" t="s">
        <v>132</v>
      </c>
      <c r="G528" s="630">
        <v>114</v>
      </c>
      <c r="H528" s="630">
        <v>2</v>
      </c>
      <c r="I528" s="630">
        <v>42</v>
      </c>
      <c r="J528" s="630">
        <v>1</v>
      </c>
      <c r="K528" s="630">
        <v>159</v>
      </c>
      <c r="L528" s="630">
        <v>156.5</v>
      </c>
      <c r="M528" s="642">
        <v>438.2</v>
      </c>
    </row>
    <row r="529" spans="1:13" ht="15" customHeight="1">
      <c r="A529" s="639">
        <v>11310</v>
      </c>
      <c r="B529" s="627" t="s">
        <v>283</v>
      </c>
      <c r="C529" s="627" t="s">
        <v>297</v>
      </c>
      <c r="D529" s="627" t="s">
        <v>298</v>
      </c>
      <c r="E529" s="628">
        <v>2.8</v>
      </c>
      <c r="F529" s="628" t="s">
        <v>109</v>
      </c>
      <c r="G529" s="628">
        <v>0</v>
      </c>
      <c r="H529" s="628">
        <v>20</v>
      </c>
      <c r="I529" s="628">
        <v>233</v>
      </c>
      <c r="J529" s="628">
        <v>2</v>
      </c>
      <c r="K529" s="628">
        <v>255</v>
      </c>
      <c r="L529" s="628">
        <v>234</v>
      </c>
      <c r="M529" s="640">
        <v>655.2</v>
      </c>
    </row>
    <row r="530" spans="1:13" ht="15" customHeight="1">
      <c r="A530" s="641">
        <v>11310</v>
      </c>
      <c r="B530" s="629" t="s">
        <v>283</v>
      </c>
      <c r="C530" s="629" t="s">
        <v>299</v>
      </c>
      <c r="D530" s="629" t="s">
        <v>300</v>
      </c>
      <c r="E530" s="630">
        <v>2.25</v>
      </c>
      <c r="F530" s="630" t="s">
        <v>132</v>
      </c>
      <c r="G530" s="630">
        <v>13</v>
      </c>
      <c r="H530" s="630">
        <v>0</v>
      </c>
      <c r="I530" s="630">
        <v>3</v>
      </c>
      <c r="J530" s="630">
        <v>0</v>
      </c>
      <c r="K530" s="630">
        <v>16</v>
      </c>
      <c r="L530" s="630">
        <v>16</v>
      </c>
      <c r="M530" s="642">
        <v>36</v>
      </c>
    </row>
    <row r="531" spans="1:13" ht="15" customHeight="1">
      <c r="A531" s="639">
        <v>11310</v>
      </c>
      <c r="B531" s="627" t="s">
        <v>283</v>
      </c>
      <c r="C531" s="627" t="s">
        <v>299</v>
      </c>
      <c r="D531" s="627" t="s">
        <v>300</v>
      </c>
      <c r="E531" s="628">
        <v>2.25</v>
      </c>
      <c r="F531" s="628" t="s">
        <v>109</v>
      </c>
      <c r="G531" s="628">
        <v>0</v>
      </c>
      <c r="H531" s="628">
        <v>3</v>
      </c>
      <c r="I531" s="628">
        <v>21</v>
      </c>
      <c r="J531" s="628">
        <v>2</v>
      </c>
      <c r="K531" s="628">
        <v>26</v>
      </c>
      <c r="L531" s="628">
        <v>22</v>
      </c>
      <c r="M531" s="640">
        <v>49.5</v>
      </c>
    </row>
    <row r="532" spans="1:13" ht="15" customHeight="1">
      <c r="A532" s="641">
        <v>11310</v>
      </c>
      <c r="B532" s="629" t="s">
        <v>283</v>
      </c>
      <c r="C532" s="629" t="s">
        <v>663</v>
      </c>
      <c r="D532" s="629" t="s">
        <v>664</v>
      </c>
      <c r="E532" s="630">
        <v>2.25</v>
      </c>
      <c r="F532" s="630" t="s">
        <v>132</v>
      </c>
      <c r="G532" s="630">
        <v>6</v>
      </c>
      <c r="H532" s="630">
        <v>0</v>
      </c>
      <c r="I532" s="630">
        <v>3</v>
      </c>
      <c r="J532" s="630">
        <v>0</v>
      </c>
      <c r="K532" s="630">
        <v>9</v>
      </c>
      <c r="L532" s="630">
        <v>9</v>
      </c>
      <c r="M532" s="642">
        <v>20.25</v>
      </c>
    </row>
    <row r="533" spans="1:13" ht="15" customHeight="1">
      <c r="A533" s="639">
        <v>11310</v>
      </c>
      <c r="B533" s="627" t="s">
        <v>283</v>
      </c>
      <c r="C533" s="627" t="s">
        <v>663</v>
      </c>
      <c r="D533" s="627" t="s">
        <v>664</v>
      </c>
      <c r="E533" s="628">
        <v>2.25</v>
      </c>
      <c r="F533" s="628" t="s">
        <v>109</v>
      </c>
      <c r="G533" s="628">
        <v>0</v>
      </c>
      <c r="H533" s="628">
        <v>0</v>
      </c>
      <c r="I533" s="628">
        <v>6</v>
      </c>
      <c r="J533" s="628">
        <v>0</v>
      </c>
      <c r="K533" s="628">
        <v>6</v>
      </c>
      <c r="L533" s="628">
        <v>6</v>
      </c>
      <c r="M533" s="640">
        <v>13.5</v>
      </c>
    </row>
    <row r="534" spans="1:13" ht="15" customHeight="1">
      <c r="A534" s="641">
        <v>11310</v>
      </c>
      <c r="B534" s="629" t="s">
        <v>283</v>
      </c>
      <c r="C534" s="629" t="s">
        <v>665</v>
      </c>
      <c r="D534" s="629" t="s">
        <v>666</v>
      </c>
      <c r="E534" s="630">
        <v>2.25</v>
      </c>
      <c r="F534" s="630" t="s">
        <v>132</v>
      </c>
      <c r="G534" s="630">
        <v>2</v>
      </c>
      <c r="H534" s="630">
        <v>0</v>
      </c>
      <c r="I534" s="630">
        <v>1</v>
      </c>
      <c r="J534" s="630">
        <v>0</v>
      </c>
      <c r="K534" s="630">
        <v>3</v>
      </c>
      <c r="L534" s="630">
        <v>3</v>
      </c>
      <c r="M534" s="642">
        <v>6.75</v>
      </c>
    </row>
    <row r="535" spans="1:13" ht="15" customHeight="1">
      <c r="A535" s="639">
        <v>11310</v>
      </c>
      <c r="B535" s="627" t="s">
        <v>283</v>
      </c>
      <c r="C535" s="627" t="s">
        <v>665</v>
      </c>
      <c r="D535" s="627" t="s">
        <v>666</v>
      </c>
      <c r="E535" s="628">
        <v>2.25</v>
      </c>
      <c r="F535" s="628" t="s">
        <v>109</v>
      </c>
      <c r="G535" s="628">
        <v>0</v>
      </c>
      <c r="H535" s="628">
        <v>0</v>
      </c>
      <c r="I535" s="628">
        <v>4</v>
      </c>
      <c r="J535" s="628">
        <v>0</v>
      </c>
      <c r="K535" s="628">
        <v>4</v>
      </c>
      <c r="L535" s="628">
        <v>4</v>
      </c>
      <c r="M535" s="640">
        <v>9</v>
      </c>
    </row>
    <row r="536" spans="1:13" ht="15" customHeight="1">
      <c r="A536" s="641">
        <v>11310</v>
      </c>
      <c r="B536" s="629" t="s">
        <v>283</v>
      </c>
      <c r="C536" s="629" t="s">
        <v>301</v>
      </c>
      <c r="D536" s="629" t="s">
        <v>285</v>
      </c>
      <c r="E536" s="630">
        <v>2.25</v>
      </c>
      <c r="F536" s="630" t="s">
        <v>116</v>
      </c>
      <c r="G536" s="630">
        <v>0</v>
      </c>
      <c r="H536" s="630">
        <v>1</v>
      </c>
      <c r="I536" s="630">
        <v>26</v>
      </c>
      <c r="J536" s="630">
        <v>0</v>
      </c>
      <c r="K536" s="630">
        <v>27</v>
      </c>
      <c r="L536" s="630">
        <v>26</v>
      </c>
      <c r="M536" s="642">
        <v>58.5</v>
      </c>
    </row>
    <row r="537" spans="1:13" ht="15" customHeight="1">
      <c r="A537" s="639">
        <v>11310</v>
      </c>
      <c r="B537" s="627" t="s">
        <v>283</v>
      </c>
      <c r="C537" s="627" t="s">
        <v>301</v>
      </c>
      <c r="D537" s="627" t="s">
        <v>285</v>
      </c>
      <c r="E537" s="628">
        <v>2.25</v>
      </c>
      <c r="F537" s="628" t="s">
        <v>114</v>
      </c>
      <c r="G537" s="628">
        <v>0</v>
      </c>
      <c r="H537" s="628">
        <v>4</v>
      </c>
      <c r="I537" s="628">
        <v>31</v>
      </c>
      <c r="J537" s="628">
        <v>0</v>
      </c>
      <c r="K537" s="628">
        <v>35</v>
      </c>
      <c r="L537" s="628">
        <v>31</v>
      </c>
      <c r="M537" s="640">
        <v>69.75</v>
      </c>
    </row>
    <row r="538" spans="1:13" ht="15" customHeight="1">
      <c r="A538" s="641">
        <v>11310</v>
      </c>
      <c r="B538" s="629" t="s">
        <v>283</v>
      </c>
      <c r="C538" s="629" t="s">
        <v>302</v>
      </c>
      <c r="D538" s="629" t="s">
        <v>287</v>
      </c>
      <c r="E538" s="630">
        <v>1.65</v>
      </c>
      <c r="F538" s="630" t="s">
        <v>116</v>
      </c>
      <c r="G538" s="630">
        <v>0</v>
      </c>
      <c r="H538" s="630">
        <v>1</v>
      </c>
      <c r="I538" s="630">
        <v>75</v>
      </c>
      <c r="J538" s="630">
        <v>0</v>
      </c>
      <c r="K538" s="630">
        <v>76</v>
      </c>
      <c r="L538" s="630">
        <v>75</v>
      </c>
      <c r="M538" s="642">
        <v>123.75</v>
      </c>
    </row>
    <row r="539" spans="1:13" ht="15" customHeight="1">
      <c r="A539" s="639">
        <v>11310</v>
      </c>
      <c r="B539" s="627" t="s">
        <v>283</v>
      </c>
      <c r="C539" s="627" t="s">
        <v>302</v>
      </c>
      <c r="D539" s="627" t="s">
        <v>287</v>
      </c>
      <c r="E539" s="628">
        <v>1.65</v>
      </c>
      <c r="F539" s="628" t="s">
        <v>114</v>
      </c>
      <c r="G539" s="628">
        <v>0</v>
      </c>
      <c r="H539" s="628">
        <v>34</v>
      </c>
      <c r="I539" s="628">
        <v>114</v>
      </c>
      <c r="J539" s="628">
        <v>0</v>
      </c>
      <c r="K539" s="628">
        <v>148</v>
      </c>
      <c r="L539" s="628">
        <v>114</v>
      </c>
      <c r="M539" s="640">
        <v>188.1</v>
      </c>
    </row>
    <row r="540" spans="1:13" ht="15" customHeight="1">
      <c r="A540" s="641">
        <v>11310</v>
      </c>
      <c r="B540" s="629" t="s">
        <v>283</v>
      </c>
      <c r="C540" s="629" t="s">
        <v>303</v>
      </c>
      <c r="D540" s="629" t="s">
        <v>74</v>
      </c>
      <c r="E540" s="630">
        <v>1.65</v>
      </c>
      <c r="F540" s="630" t="s">
        <v>116</v>
      </c>
      <c r="G540" s="630">
        <v>0</v>
      </c>
      <c r="H540" s="630">
        <v>0</v>
      </c>
      <c r="I540" s="630">
        <v>14</v>
      </c>
      <c r="J540" s="630">
        <v>0</v>
      </c>
      <c r="K540" s="630">
        <v>14</v>
      </c>
      <c r="L540" s="630">
        <v>14</v>
      </c>
      <c r="M540" s="642">
        <v>23.1</v>
      </c>
    </row>
    <row r="541" spans="1:13" ht="15" customHeight="1">
      <c r="A541" s="639">
        <v>11310</v>
      </c>
      <c r="B541" s="627" t="s">
        <v>283</v>
      </c>
      <c r="C541" s="627" t="s">
        <v>303</v>
      </c>
      <c r="D541" s="627" t="s">
        <v>74</v>
      </c>
      <c r="E541" s="628">
        <v>1.65</v>
      </c>
      <c r="F541" s="628" t="s">
        <v>114</v>
      </c>
      <c r="G541" s="628">
        <v>0</v>
      </c>
      <c r="H541" s="628">
        <v>5</v>
      </c>
      <c r="I541" s="628">
        <v>18</v>
      </c>
      <c r="J541" s="628">
        <v>1</v>
      </c>
      <c r="K541" s="628">
        <v>24</v>
      </c>
      <c r="L541" s="628">
        <v>18.5</v>
      </c>
      <c r="M541" s="640">
        <v>30.53</v>
      </c>
    </row>
    <row r="542" spans="1:13" ht="15" customHeight="1">
      <c r="A542" s="641">
        <v>11310</v>
      </c>
      <c r="B542" s="629" t="s">
        <v>283</v>
      </c>
      <c r="C542" s="629" t="s">
        <v>304</v>
      </c>
      <c r="D542" s="629" t="s">
        <v>220</v>
      </c>
      <c r="E542" s="630">
        <v>2.8</v>
      </c>
      <c r="F542" s="630" t="s">
        <v>116</v>
      </c>
      <c r="G542" s="630">
        <v>0</v>
      </c>
      <c r="H542" s="630">
        <v>0</v>
      </c>
      <c r="I542" s="630">
        <v>22</v>
      </c>
      <c r="J542" s="630">
        <v>0</v>
      </c>
      <c r="K542" s="630">
        <v>22</v>
      </c>
      <c r="L542" s="630">
        <v>22</v>
      </c>
      <c r="M542" s="642">
        <v>61.6</v>
      </c>
    </row>
    <row r="543" spans="1:13" ht="15" customHeight="1">
      <c r="A543" s="639">
        <v>11310</v>
      </c>
      <c r="B543" s="627" t="s">
        <v>283</v>
      </c>
      <c r="C543" s="627" t="s">
        <v>304</v>
      </c>
      <c r="D543" s="627" t="s">
        <v>220</v>
      </c>
      <c r="E543" s="628">
        <v>2.8</v>
      </c>
      <c r="F543" s="628" t="s">
        <v>114</v>
      </c>
      <c r="G543" s="628">
        <v>0</v>
      </c>
      <c r="H543" s="628">
        <v>1</v>
      </c>
      <c r="I543" s="628">
        <v>23</v>
      </c>
      <c r="J543" s="628">
        <v>0</v>
      </c>
      <c r="K543" s="628">
        <v>24</v>
      </c>
      <c r="L543" s="628">
        <v>23</v>
      </c>
      <c r="M543" s="640">
        <v>64.4</v>
      </c>
    </row>
    <row r="544" spans="1:13" ht="15" customHeight="1">
      <c r="A544" s="641">
        <v>11310</v>
      </c>
      <c r="B544" s="629" t="s">
        <v>283</v>
      </c>
      <c r="C544" s="629" t="s">
        <v>305</v>
      </c>
      <c r="D544" s="629" t="s">
        <v>291</v>
      </c>
      <c r="E544" s="630">
        <v>2.8</v>
      </c>
      <c r="F544" s="630" t="s">
        <v>116</v>
      </c>
      <c r="G544" s="630">
        <v>0</v>
      </c>
      <c r="H544" s="630">
        <v>0</v>
      </c>
      <c r="I544" s="630">
        <v>44</v>
      </c>
      <c r="J544" s="630">
        <v>0</v>
      </c>
      <c r="K544" s="630">
        <v>44</v>
      </c>
      <c r="L544" s="630">
        <v>44</v>
      </c>
      <c r="M544" s="642">
        <v>123.2</v>
      </c>
    </row>
    <row r="545" spans="1:13" ht="15" customHeight="1">
      <c r="A545" s="639">
        <v>11310</v>
      </c>
      <c r="B545" s="627" t="s">
        <v>283</v>
      </c>
      <c r="C545" s="627" t="s">
        <v>305</v>
      </c>
      <c r="D545" s="627" t="s">
        <v>291</v>
      </c>
      <c r="E545" s="628">
        <v>2.8</v>
      </c>
      <c r="F545" s="628" t="s">
        <v>114</v>
      </c>
      <c r="G545" s="628">
        <v>0</v>
      </c>
      <c r="H545" s="628">
        <v>2</v>
      </c>
      <c r="I545" s="628">
        <v>46</v>
      </c>
      <c r="J545" s="628">
        <v>0</v>
      </c>
      <c r="K545" s="628">
        <v>48</v>
      </c>
      <c r="L545" s="628">
        <v>46</v>
      </c>
      <c r="M545" s="640">
        <v>128.8</v>
      </c>
    </row>
    <row r="546" spans="1:13" ht="15" customHeight="1">
      <c r="A546" s="641">
        <v>11310</v>
      </c>
      <c r="B546" s="629" t="s">
        <v>283</v>
      </c>
      <c r="C546" s="629" t="s">
        <v>306</v>
      </c>
      <c r="D546" s="629" t="s">
        <v>293</v>
      </c>
      <c r="E546" s="630">
        <v>2.8</v>
      </c>
      <c r="F546" s="630" t="s">
        <v>116</v>
      </c>
      <c r="G546" s="630">
        <v>0</v>
      </c>
      <c r="H546" s="630">
        <v>0</v>
      </c>
      <c r="I546" s="630">
        <v>27</v>
      </c>
      <c r="J546" s="630">
        <v>0</v>
      </c>
      <c r="K546" s="630">
        <v>27</v>
      </c>
      <c r="L546" s="630">
        <v>27</v>
      </c>
      <c r="M546" s="642">
        <v>75.6</v>
      </c>
    </row>
    <row r="547" spans="1:13" ht="15" customHeight="1">
      <c r="A547" s="639">
        <v>11310</v>
      </c>
      <c r="B547" s="627" t="s">
        <v>283</v>
      </c>
      <c r="C547" s="627" t="s">
        <v>306</v>
      </c>
      <c r="D547" s="627" t="s">
        <v>293</v>
      </c>
      <c r="E547" s="628">
        <v>2.8</v>
      </c>
      <c r="F547" s="628" t="s">
        <v>114</v>
      </c>
      <c r="G547" s="628">
        <v>0</v>
      </c>
      <c r="H547" s="628">
        <v>1</v>
      </c>
      <c r="I547" s="628">
        <v>17</v>
      </c>
      <c r="J547" s="628">
        <v>0</v>
      </c>
      <c r="K547" s="628">
        <v>18</v>
      </c>
      <c r="L547" s="628">
        <v>17</v>
      </c>
      <c r="M547" s="640">
        <v>47.6</v>
      </c>
    </row>
    <row r="548" spans="1:13" ht="15" customHeight="1">
      <c r="A548" s="641">
        <v>11310</v>
      </c>
      <c r="B548" s="629" t="s">
        <v>283</v>
      </c>
      <c r="C548" s="629" t="s">
        <v>307</v>
      </c>
      <c r="D548" s="629" t="s">
        <v>295</v>
      </c>
      <c r="E548" s="630">
        <v>2.25</v>
      </c>
      <c r="F548" s="630" t="s">
        <v>116</v>
      </c>
      <c r="G548" s="630">
        <v>0</v>
      </c>
      <c r="H548" s="630">
        <v>0</v>
      </c>
      <c r="I548" s="630">
        <v>206</v>
      </c>
      <c r="J548" s="630">
        <v>0</v>
      </c>
      <c r="K548" s="630">
        <v>206</v>
      </c>
      <c r="L548" s="630">
        <v>206</v>
      </c>
      <c r="M548" s="642">
        <v>463.5</v>
      </c>
    </row>
    <row r="549" spans="1:13" ht="15" customHeight="1">
      <c r="A549" s="639">
        <v>11310</v>
      </c>
      <c r="B549" s="627" t="s">
        <v>283</v>
      </c>
      <c r="C549" s="627" t="s">
        <v>307</v>
      </c>
      <c r="D549" s="627" t="s">
        <v>295</v>
      </c>
      <c r="E549" s="628">
        <v>2.25</v>
      </c>
      <c r="F549" s="628" t="s">
        <v>114</v>
      </c>
      <c r="G549" s="628">
        <v>0</v>
      </c>
      <c r="H549" s="628">
        <v>22</v>
      </c>
      <c r="I549" s="628">
        <v>300</v>
      </c>
      <c r="J549" s="628">
        <v>2</v>
      </c>
      <c r="K549" s="628">
        <v>324</v>
      </c>
      <c r="L549" s="628">
        <v>301</v>
      </c>
      <c r="M549" s="640">
        <v>677.25</v>
      </c>
    </row>
    <row r="550" spans="1:13" ht="15" customHeight="1">
      <c r="A550" s="641">
        <v>11310</v>
      </c>
      <c r="B550" s="629" t="s">
        <v>283</v>
      </c>
      <c r="C550" s="629" t="s">
        <v>272</v>
      </c>
      <c r="D550" s="629" t="s">
        <v>273</v>
      </c>
      <c r="E550" s="630">
        <v>1.65</v>
      </c>
      <c r="F550" s="630" t="s">
        <v>116</v>
      </c>
      <c r="G550" s="630">
        <v>0</v>
      </c>
      <c r="H550" s="630">
        <v>0</v>
      </c>
      <c r="I550" s="630">
        <v>21</v>
      </c>
      <c r="J550" s="630">
        <v>0</v>
      </c>
      <c r="K550" s="630">
        <v>21</v>
      </c>
      <c r="L550" s="630">
        <v>21</v>
      </c>
      <c r="M550" s="642">
        <v>34.65</v>
      </c>
    </row>
    <row r="551" spans="1:13" ht="15" customHeight="1">
      <c r="A551" s="639">
        <v>11310</v>
      </c>
      <c r="B551" s="627" t="s">
        <v>283</v>
      </c>
      <c r="C551" s="627" t="s">
        <v>272</v>
      </c>
      <c r="D551" s="627" t="s">
        <v>273</v>
      </c>
      <c r="E551" s="628">
        <v>1.65</v>
      </c>
      <c r="F551" s="628" t="s">
        <v>114</v>
      </c>
      <c r="G551" s="628">
        <v>0</v>
      </c>
      <c r="H551" s="628">
        <v>0</v>
      </c>
      <c r="I551" s="628">
        <v>22</v>
      </c>
      <c r="J551" s="628">
        <v>0</v>
      </c>
      <c r="K551" s="628">
        <v>22</v>
      </c>
      <c r="L551" s="628">
        <v>22</v>
      </c>
      <c r="M551" s="640">
        <v>36.3</v>
      </c>
    </row>
    <row r="552" spans="1:13" ht="15" customHeight="1">
      <c r="A552" s="641">
        <v>11310</v>
      </c>
      <c r="B552" s="629" t="s">
        <v>283</v>
      </c>
      <c r="C552" s="629" t="s">
        <v>667</v>
      </c>
      <c r="D552" s="629" t="s">
        <v>300</v>
      </c>
      <c r="E552" s="630">
        <v>2.25</v>
      </c>
      <c r="F552" s="630" t="s">
        <v>116</v>
      </c>
      <c r="G552" s="630">
        <v>0</v>
      </c>
      <c r="H552" s="630">
        <v>0</v>
      </c>
      <c r="I552" s="630">
        <v>5</v>
      </c>
      <c r="J552" s="630">
        <v>0</v>
      </c>
      <c r="K552" s="630">
        <v>5</v>
      </c>
      <c r="L552" s="630">
        <v>5</v>
      </c>
      <c r="M552" s="642">
        <v>11.25</v>
      </c>
    </row>
    <row r="553" spans="1:13" ht="15" customHeight="1">
      <c r="A553" s="639">
        <v>11310</v>
      </c>
      <c r="B553" s="627" t="s">
        <v>283</v>
      </c>
      <c r="C553" s="627" t="s">
        <v>667</v>
      </c>
      <c r="D553" s="627" t="s">
        <v>300</v>
      </c>
      <c r="E553" s="628">
        <v>2.25</v>
      </c>
      <c r="F553" s="628" t="s">
        <v>114</v>
      </c>
      <c r="G553" s="628">
        <v>0</v>
      </c>
      <c r="H553" s="628">
        <v>0</v>
      </c>
      <c r="I553" s="628">
        <v>1</v>
      </c>
      <c r="J553" s="628">
        <v>0</v>
      </c>
      <c r="K553" s="628">
        <v>1</v>
      </c>
      <c r="L553" s="628">
        <v>1</v>
      </c>
      <c r="M553" s="640">
        <v>2.25</v>
      </c>
    </row>
    <row r="554" spans="1:13" ht="15" customHeight="1">
      <c r="A554" s="641">
        <v>11310</v>
      </c>
      <c r="B554" s="629" t="s">
        <v>283</v>
      </c>
      <c r="C554" s="629" t="s">
        <v>668</v>
      </c>
      <c r="D554" s="629" t="s">
        <v>664</v>
      </c>
      <c r="E554" s="630">
        <v>2.25</v>
      </c>
      <c r="F554" s="630" t="s">
        <v>116</v>
      </c>
      <c r="G554" s="630">
        <v>0</v>
      </c>
      <c r="H554" s="630">
        <v>0</v>
      </c>
      <c r="I554" s="630">
        <v>5</v>
      </c>
      <c r="J554" s="630">
        <v>0</v>
      </c>
      <c r="K554" s="630">
        <v>5</v>
      </c>
      <c r="L554" s="630">
        <v>5</v>
      </c>
      <c r="M554" s="642">
        <v>11.25</v>
      </c>
    </row>
    <row r="555" spans="1:13" ht="15" customHeight="1">
      <c r="A555" s="639">
        <v>11310</v>
      </c>
      <c r="B555" s="627" t="s">
        <v>283</v>
      </c>
      <c r="C555" s="627" t="s">
        <v>668</v>
      </c>
      <c r="D555" s="627" t="s">
        <v>664</v>
      </c>
      <c r="E555" s="628">
        <v>2.25</v>
      </c>
      <c r="F555" s="628" t="s">
        <v>114</v>
      </c>
      <c r="G555" s="628">
        <v>0</v>
      </c>
      <c r="H555" s="628">
        <v>0</v>
      </c>
      <c r="I555" s="628">
        <v>3</v>
      </c>
      <c r="J555" s="628">
        <v>0</v>
      </c>
      <c r="K555" s="628">
        <v>3</v>
      </c>
      <c r="L555" s="628">
        <v>3</v>
      </c>
      <c r="M555" s="640">
        <v>6.75</v>
      </c>
    </row>
    <row r="556" spans="1:13" ht="15" customHeight="1">
      <c r="A556" s="641">
        <v>11310</v>
      </c>
      <c r="B556" s="629" t="s">
        <v>283</v>
      </c>
      <c r="C556" s="629" t="s">
        <v>308</v>
      </c>
      <c r="D556" s="629" t="s">
        <v>309</v>
      </c>
      <c r="E556" s="630">
        <v>2.8</v>
      </c>
      <c r="F556" s="630" t="s">
        <v>116</v>
      </c>
      <c r="G556" s="630">
        <v>0</v>
      </c>
      <c r="H556" s="630">
        <v>0</v>
      </c>
      <c r="I556" s="630">
        <v>10</v>
      </c>
      <c r="J556" s="630">
        <v>1</v>
      </c>
      <c r="K556" s="630">
        <v>11</v>
      </c>
      <c r="L556" s="630">
        <v>10.5</v>
      </c>
      <c r="M556" s="642">
        <v>29.4</v>
      </c>
    </row>
    <row r="557" spans="1:13" ht="15" customHeight="1">
      <c r="A557" s="639">
        <v>11310</v>
      </c>
      <c r="B557" s="627" t="s">
        <v>283</v>
      </c>
      <c r="C557" s="627" t="s">
        <v>308</v>
      </c>
      <c r="D557" s="627" t="s">
        <v>309</v>
      </c>
      <c r="E557" s="628">
        <v>2.8</v>
      </c>
      <c r="F557" s="628" t="s">
        <v>114</v>
      </c>
      <c r="G557" s="628">
        <v>0</v>
      </c>
      <c r="H557" s="628">
        <v>1</v>
      </c>
      <c r="I557" s="628">
        <v>8</v>
      </c>
      <c r="J557" s="628">
        <v>0</v>
      </c>
      <c r="K557" s="628">
        <v>9</v>
      </c>
      <c r="L557" s="628">
        <v>8</v>
      </c>
      <c r="M557" s="640">
        <v>22.4</v>
      </c>
    </row>
    <row r="558" spans="1:13" ht="15" customHeight="1">
      <c r="A558" s="641">
        <v>11310</v>
      </c>
      <c r="B558" s="629" t="s">
        <v>283</v>
      </c>
      <c r="C558" s="629" t="s">
        <v>310</v>
      </c>
      <c r="D558" s="629" t="s">
        <v>285</v>
      </c>
      <c r="E558" s="630">
        <v>2.25</v>
      </c>
      <c r="F558" s="630" t="s">
        <v>119</v>
      </c>
      <c r="G558" s="630">
        <v>0</v>
      </c>
      <c r="H558" s="630">
        <v>1</v>
      </c>
      <c r="I558" s="630">
        <v>15</v>
      </c>
      <c r="J558" s="630">
        <v>0</v>
      </c>
      <c r="K558" s="630">
        <v>16</v>
      </c>
      <c r="L558" s="630">
        <v>15</v>
      </c>
      <c r="M558" s="642">
        <v>33.75</v>
      </c>
    </row>
    <row r="559" spans="1:13" ht="15" customHeight="1">
      <c r="A559" s="639">
        <v>11310</v>
      </c>
      <c r="B559" s="627" t="s">
        <v>283</v>
      </c>
      <c r="C559" s="627" t="s">
        <v>310</v>
      </c>
      <c r="D559" s="627" t="s">
        <v>285</v>
      </c>
      <c r="E559" s="628">
        <v>2.25</v>
      </c>
      <c r="F559" s="628" t="s">
        <v>122</v>
      </c>
      <c r="G559" s="628">
        <v>0</v>
      </c>
      <c r="H559" s="628">
        <v>15</v>
      </c>
      <c r="I559" s="628">
        <v>33</v>
      </c>
      <c r="J559" s="628">
        <v>0</v>
      </c>
      <c r="K559" s="628">
        <v>48</v>
      </c>
      <c r="L559" s="628">
        <v>33</v>
      </c>
      <c r="M559" s="640">
        <v>74.25</v>
      </c>
    </row>
    <row r="560" spans="1:13" ht="15" customHeight="1">
      <c r="A560" s="641">
        <v>11310</v>
      </c>
      <c r="B560" s="629" t="s">
        <v>283</v>
      </c>
      <c r="C560" s="629" t="s">
        <v>311</v>
      </c>
      <c r="D560" s="629" t="s">
        <v>312</v>
      </c>
      <c r="E560" s="630">
        <v>2.25</v>
      </c>
      <c r="F560" s="630" t="s">
        <v>119</v>
      </c>
      <c r="G560" s="630">
        <v>0</v>
      </c>
      <c r="H560" s="630">
        <v>0</v>
      </c>
      <c r="I560" s="630">
        <v>3</v>
      </c>
      <c r="J560" s="630">
        <v>0</v>
      </c>
      <c r="K560" s="630">
        <v>3</v>
      </c>
      <c r="L560" s="630">
        <v>3</v>
      </c>
      <c r="M560" s="642">
        <v>6.75</v>
      </c>
    </row>
    <row r="561" spans="1:13" ht="15" customHeight="1">
      <c r="A561" s="639">
        <v>11310</v>
      </c>
      <c r="B561" s="627" t="s">
        <v>283</v>
      </c>
      <c r="C561" s="627" t="s">
        <v>311</v>
      </c>
      <c r="D561" s="627" t="s">
        <v>312</v>
      </c>
      <c r="E561" s="628">
        <v>2.25</v>
      </c>
      <c r="F561" s="628" t="s">
        <v>122</v>
      </c>
      <c r="G561" s="628">
        <v>0</v>
      </c>
      <c r="H561" s="628">
        <v>16</v>
      </c>
      <c r="I561" s="628">
        <v>22</v>
      </c>
      <c r="J561" s="628">
        <v>0</v>
      </c>
      <c r="K561" s="628">
        <v>38</v>
      </c>
      <c r="L561" s="628">
        <v>22</v>
      </c>
      <c r="M561" s="640">
        <v>49.5</v>
      </c>
    </row>
    <row r="562" spans="1:13" ht="15" customHeight="1">
      <c r="A562" s="641">
        <v>11310</v>
      </c>
      <c r="B562" s="629" t="s">
        <v>283</v>
      </c>
      <c r="C562" s="629" t="s">
        <v>73</v>
      </c>
      <c r="D562" s="629" t="s">
        <v>74</v>
      </c>
      <c r="E562" s="630">
        <v>1.65</v>
      </c>
      <c r="F562" s="630" t="s">
        <v>119</v>
      </c>
      <c r="G562" s="630">
        <v>0</v>
      </c>
      <c r="H562" s="630">
        <v>0</v>
      </c>
      <c r="I562" s="630">
        <v>12</v>
      </c>
      <c r="J562" s="630">
        <v>0</v>
      </c>
      <c r="K562" s="630">
        <v>12</v>
      </c>
      <c r="L562" s="630">
        <v>12</v>
      </c>
      <c r="M562" s="642">
        <v>19.8</v>
      </c>
    </row>
    <row r="563" spans="1:13" ht="15" customHeight="1">
      <c r="A563" s="639">
        <v>11310</v>
      </c>
      <c r="B563" s="627" t="s">
        <v>283</v>
      </c>
      <c r="C563" s="627" t="s">
        <v>73</v>
      </c>
      <c r="D563" s="627" t="s">
        <v>74</v>
      </c>
      <c r="E563" s="628">
        <v>1.65</v>
      </c>
      <c r="F563" s="628" t="s">
        <v>122</v>
      </c>
      <c r="G563" s="628">
        <v>0</v>
      </c>
      <c r="H563" s="628">
        <v>3</v>
      </c>
      <c r="I563" s="628">
        <v>16</v>
      </c>
      <c r="J563" s="628">
        <v>0</v>
      </c>
      <c r="K563" s="628">
        <v>19</v>
      </c>
      <c r="L563" s="628">
        <v>16</v>
      </c>
      <c r="M563" s="640">
        <v>26.4</v>
      </c>
    </row>
    <row r="564" spans="1:13" ht="15" customHeight="1">
      <c r="A564" s="641">
        <v>11310</v>
      </c>
      <c r="B564" s="629" t="s">
        <v>283</v>
      </c>
      <c r="C564" s="629" t="s">
        <v>313</v>
      </c>
      <c r="D564" s="629" t="s">
        <v>314</v>
      </c>
      <c r="E564" s="630">
        <v>1.65</v>
      </c>
      <c r="F564" s="630" t="s">
        <v>119</v>
      </c>
      <c r="G564" s="630">
        <v>0</v>
      </c>
      <c r="H564" s="630">
        <v>0</v>
      </c>
      <c r="I564" s="630">
        <v>11</v>
      </c>
      <c r="J564" s="630">
        <v>0</v>
      </c>
      <c r="K564" s="630">
        <v>11</v>
      </c>
      <c r="L564" s="630">
        <v>11</v>
      </c>
      <c r="M564" s="642">
        <v>18.15</v>
      </c>
    </row>
    <row r="565" spans="1:13" ht="15" customHeight="1">
      <c r="A565" s="639">
        <v>11310</v>
      </c>
      <c r="B565" s="627" t="s">
        <v>283</v>
      </c>
      <c r="C565" s="627" t="s">
        <v>313</v>
      </c>
      <c r="D565" s="627" t="s">
        <v>314</v>
      </c>
      <c r="E565" s="628">
        <v>1.65</v>
      </c>
      <c r="F565" s="628" t="s">
        <v>122</v>
      </c>
      <c r="G565" s="628">
        <v>0</v>
      </c>
      <c r="H565" s="628">
        <v>17</v>
      </c>
      <c r="I565" s="628">
        <v>26</v>
      </c>
      <c r="J565" s="628">
        <v>0</v>
      </c>
      <c r="K565" s="628">
        <v>43</v>
      </c>
      <c r="L565" s="628">
        <v>26</v>
      </c>
      <c r="M565" s="640">
        <v>42.9</v>
      </c>
    </row>
    <row r="566" spans="1:13" ht="15" customHeight="1">
      <c r="A566" s="641">
        <v>11310</v>
      </c>
      <c r="B566" s="629" t="s">
        <v>283</v>
      </c>
      <c r="C566" s="629" t="s">
        <v>315</v>
      </c>
      <c r="D566" s="629" t="s">
        <v>316</v>
      </c>
      <c r="E566" s="630">
        <v>1.65</v>
      </c>
      <c r="F566" s="630" t="s">
        <v>119</v>
      </c>
      <c r="G566" s="630">
        <v>0</v>
      </c>
      <c r="H566" s="630">
        <v>0</v>
      </c>
      <c r="I566" s="630">
        <v>3</v>
      </c>
      <c r="J566" s="630">
        <v>0</v>
      </c>
      <c r="K566" s="630">
        <v>3</v>
      </c>
      <c r="L566" s="630">
        <v>3</v>
      </c>
      <c r="M566" s="642">
        <v>4.95</v>
      </c>
    </row>
    <row r="567" spans="1:13" ht="15" customHeight="1">
      <c r="A567" s="639">
        <v>11310</v>
      </c>
      <c r="B567" s="627" t="s">
        <v>283</v>
      </c>
      <c r="C567" s="627" t="s">
        <v>315</v>
      </c>
      <c r="D567" s="627" t="s">
        <v>316</v>
      </c>
      <c r="E567" s="628">
        <v>1.65</v>
      </c>
      <c r="F567" s="628" t="s">
        <v>122</v>
      </c>
      <c r="G567" s="628">
        <v>0</v>
      </c>
      <c r="H567" s="628">
        <v>4</v>
      </c>
      <c r="I567" s="628">
        <v>13</v>
      </c>
      <c r="J567" s="628">
        <v>0</v>
      </c>
      <c r="K567" s="628">
        <v>17</v>
      </c>
      <c r="L567" s="628">
        <v>13</v>
      </c>
      <c r="M567" s="640">
        <v>21.45</v>
      </c>
    </row>
    <row r="568" spans="1:13" ht="15" customHeight="1">
      <c r="A568" s="641">
        <v>11310</v>
      </c>
      <c r="B568" s="629" t="s">
        <v>283</v>
      </c>
      <c r="C568" s="629" t="s">
        <v>317</v>
      </c>
      <c r="D568" s="629" t="s">
        <v>318</v>
      </c>
      <c r="E568" s="630">
        <v>1.65</v>
      </c>
      <c r="F568" s="630" t="s">
        <v>119</v>
      </c>
      <c r="G568" s="630">
        <v>0</v>
      </c>
      <c r="H568" s="630">
        <v>0</v>
      </c>
      <c r="I568" s="630">
        <v>5</v>
      </c>
      <c r="J568" s="630">
        <v>0</v>
      </c>
      <c r="K568" s="630">
        <v>5</v>
      </c>
      <c r="L568" s="630">
        <v>5</v>
      </c>
      <c r="M568" s="642">
        <v>8.25</v>
      </c>
    </row>
    <row r="569" spans="1:13" ht="15" customHeight="1">
      <c r="A569" s="639">
        <v>11310</v>
      </c>
      <c r="B569" s="627" t="s">
        <v>283</v>
      </c>
      <c r="C569" s="627" t="s">
        <v>317</v>
      </c>
      <c r="D569" s="627" t="s">
        <v>318</v>
      </c>
      <c r="E569" s="628">
        <v>1.65</v>
      </c>
      <c r="F569" s="628" t="s">
        <v>122</v>
      </c>
      <c r="G569" s="628">
        <v>0</v>
      </c>
      <c r="H569" s="628">
        <v>14</v>
      </c>
      <c r="I569" s="628">
        <v>19</v>
      </c>
      <c r="J569" s="628">
        <v>1</v>
      </c>
      <c r="K569" s="628">
        <v>34</v>
      </c>
      <c r="L569" s="628">
        <v>19.5</v>
      </c>
      <c r="M569" s="640">
        <v>32.18</v>
      </c>
    </row>
    <row r="570" spans="1:13" ht="15" customHeight="1">
      <c r="A570" s="641">
        <v>11310</v>
      </c>
      <c r="B570" s="629" t="s">
        <v>283</v>
      </c>
      <c r="C570" s="629" t="s">
        <v>319</v>
      </c>
      <c r="D570" s="629" t="s">
        <v>320</v>
      </c>
      <c r="E570" s="630">
        <v>1.65</v>
      </c>
      <c r="F570" s="630" t="s">
        <v>119</v>
      </c>
      <c r="G570" s="630">
        <v>0</v>
      </c>
      <c r="H570" s="630">
        <v>0</v>
      </c>
      <c r="I570" s="630">
        <v>3</v>
      </c>
      <c r="J570" s="630">
        <v>0</v>
      </c>
      <c r="K570" s="630">
        <v>3</v>
      </c>
      <c r="L570" s="630">
        <v>3</v>
      </c>
      <c r="M570" s="642">
        <v>4.95</v>
      </c>
    </row>
    <row r="571" spans="1:13" ht="15" customHeight="1">
      <c r="A571" s="639">
        <v>11310</v>
      </c>
      <c r="B571" s="627" t="s">
        <v>283</v>
      </c>
      <c r="C571" s="627" t="s">
        <v>319</v>
      </c>
      <c r="D571" s="627" t="s">
        <v>320</v>
      </c>
      <c r="E571" s="628">
        <v>1.65</v>
      </c>
      <c r="F571" s="628" t="s">
        <v>122</v>
      </c>
      <c r="G571" s="628">
        <v>0</v>
      </c>
      <c r="H571" s="628">
        <v>4</v>
      </c>
      <c r="I571" s="628">
        <v>4</v>
      </c>
      <c r="J571" s="628">
        <v>0</v>
      </c>
      <c r="K571" s="628">
        <v>8</v>
      </c>
      <c r="L571" s="628">
        <v>4</v>
      </c>
      <c r="M571" s="640">
        <v>6.6</v>
      </c>
    </row>
    <row r="572" spans="1:13" ht="15" customHeight="1">
      <c r="A572" s="641">
        <v>11310</v>
      </c>
      <c r="B572" s="629" t="s">
        <v>283</v>
      </c>
      <c r="C572" s="629" t="s">
        <v>321</v>
      </c>
      <c r="D572" s="629" t="s">
        <v>322</v>
      </c>
      <c r="E572" s="630">
        <v>1.65</v>
      </c>
      <c r="F572" s="630" t="s">
        <v>119</v>
      </c>
      <c r="G572" s="630">
        <v>0</v>
      </c>
      <c r="H572" s="630">
        <v>0</v>
      </c>
      <c r="I572" s="630">
        <v>2</v>
      </c>
      <c r="J572" s="630">
        <v>0</v>
      </c>
      <c r="K572" s="630">
        <v>2</v>
      </c>
      <c r="L572" s="630">
        <v>2</v>
      </c>
      <c r="M572" s="642">
        <v>3.3</v>
      </c>
    </row>
    <row r="573" spans="1:13" ht="15" customHeight="1">
      <c r="A573" s="639">
        <v>11310</v>
      </c>
      <c r="B573" s="627" t="s">
        <v>283</v>
      </c>
      <c r="C573" s="627" t="s">
        <v>321</v>
      </c>
      <c r="D573" s="627" t="s">
        <v>322</v>
      </c>
      <c r="E573" s="628">
        <v>1.65</v>
      </c>
      <c r="F573" s="628" t="s">
        <v>122</v>
      </c>
      <c r="G573" s="628">
        <v>0</v>
      </c>
      <c r="H573" s="628">
        <v>5</v>
      </c>
      <c r="I573" s="628">
        <v>11</v>
      </c>
      <c r="J573" s="628">
        <v>1</v>
      </c>
      <c r="K573" s="628">
        <v>17</v>
      </c>
      <c r="L573" s="628">
        <v>11.5</v>
      </c>
      <c r="M573" s="640">
        <v>18.98</v>
      </c>
    </row>
    <row r="574" spans="1:13" ht="15" customHeight="1">
      <c r="A574" s="641">
        <v>11310</v>
      </c>
      <c r="B574" s="629" t="s">
        <v>283</v>
      </c>
      <c r="C574" s="629" t="s">
        <v>323</v>
      </c>
      <c r="D574" s="629" t="s">
        <v>324</v>
      </c>
      <c r="E574" s="630">
        <v>2.8</v>
      </c>
      <c r="F574" s="630" t="s">
        <v>119</v>
      </c>
      <c r="G574" s="630">
        <v>0</v>
      </c>
      <c r="H574" s="630">
        <v>0</v>
      </c>
      <c r="I574" s="630">
        <v>4</v>
      </c>
      <c r="J574" s="630">
        <v>0</v>
      </c>
      <c r="K574" s="630">
        <v>4</v>
      </c>
      <c r="L574" s="630">
        <v>4</v>
      </c>
      <c r="M574" s="642">
        <v>11.2</v>
      </c>
    </row>
    <row r="575" spans="1:13" ht="15" customHeight="1">
      <c r="A575" s="639">
        <v>11310</v>
      </c>
      <c r="B575" s="627" t="s">
        <v>283</v>
      </c>
      <c r="C575" s="627" t="s">
        <v>323</v>
      </c>
      <c r="D575" s="627" t="s">
        <v>324</v>
      </c>
      <c r="E575" s="628">
        <v>2.8</v>
      </c>
      <c r="F575" s="628" t="s">
        <v>122</v>
      </c>
      <c r="G575" s="628">
        <v>0</v>
      </c>
      <c r="H575" s="628">
        <v>6</v>
      </c>
      <c r="I575" s="628">
        <v>13</v>
      </c>
      <c r="J575" s="628">
        <v>0</v>
      </c>
      <c r="K575" s="628">
        <v>19</v>
      </c>
      <c r="L575" s="628">
        <v>13</v>
      </c>
      <c r="M575" s="640">
        <v>36.4</v>
      </c>
    </row>
    <row r="576" spans="1:13" ht="15" customHeight="1">
      <c r="A576" s="641">
        <v>11310</v>
      </c>
      <c r="B576" s="629" t="s">
        <v>283</v>
      </c>
      <c r="C576" s="629" t="s">
        <v>217</v>
      </c>
      <c r="D576" s="629" t="s">
        <v>218</v>
      </c>
      <c r="E576" s="630">
        <v>2.8</v>
      </c>
      <c r="F576" s="630" t="s">
        <v>119</v>
      </c>
      <c r="G576" s="630">
        <v>0</v>
      </c>
      <c r="H576" s="630">
        <v>0</v>
      </c>
      <c r="I576" s="630">
        <v>10</v>
      </c>
      <c r="J576" s="630">
        <v>0</v>
      </c>
      <c r="K576" s="630">
        <v>10</v>
      </c>
      <c r="L576" s="630">
        <v>10</v>
      </c>
      <c r="M576" s="642">
        <v>28</v>
      </c>
    </row>
    <row r="577" spans="1:13" ht="15" customHeight="1">
      <c r="A577" s="639">
        <v>11310</v>
      </c>
      <c r="B577" s="627" t="s">
        <v>283</v>
      </c>
      <c r="C577" s="627" t="s">
        <v>217</v>
      </c>
      <c r="D577" s="627" t="s">
        <v>218</v>
      </c>
      <c r="E577" s="628">
        <v>2.8</v>
      </c>
      <c r="F577" s="628" t="s">
        <v>122</v>
      </c>
      <c r="G577" s="628">
        <v>0</v>
      </c>
      <c r="H577" s="628">
        <v>10</v>
      </c>
      <c r="I577" s="628">
        <v>46</v>
      </c>
      <c r="J577" s="628">
        <v>0</v>
      </c>
      <c r="K577" s="628">
        <v>56</v>
      </c>
      <c r="L577" s="628">
        <v>46</v>
      </c>
      <c r="M577" s="640">
        <v>128.8</v>
      </c>
    </row>
    <row r="578" spans="1:13" ht="15" customHeight="1">
      <c r="A578" s="641">
        <v>11310</v>
      </c>
      <c r="B578" s="629" t="s">
        <v>283</v>
      </c>
      <c r="C578" s="629" t="s">
        <v>325</v>
      </c>
      <c r="D578" s="629" t="s">
        <v>326</v>
      </c>
      <c r="E578" s="630">
        <v>2.8</v>
      </c>
      <c r="F578" s="630" t="s">
        <v>119</v>
      </c>
      <c r="G578" s="630">
        <v>0</v>
      </c>
      <c r="H578" s="630">
        <v>1</v>
      </c>
      <c r="I578" s="630">
        <v>10</v>
      </c>
      <c r="J578" s="630">
        <v>0</v>
      </c>
      <c r="K578" s="630">
        <v>11</v>
      </c>
      <c r="L578" s="630">
        <v>10</v>
      </c>
      <c r="M578" s="642">
        <v>28</v>
      </c>
    </row>
    <row r="579" spans="1:13" ht="15" customHeight="1">
      <c r="A579" s="639">
        <v>11310</v>
      </c>
      <c r="B579" s="627" t="s">
        <v>283</v>
      </c>
      <c r="C579" s="627" t="s">
        <v>325</v>
      </c>
      <c r="D579" s="627" t="s">
        <v>326</v>
      </c>
      <c r="E579" s="628">
        <v>2.8</v>
      </c>
      <c r="F579" s="628" t="s">
        <v>122</v>
      </c>
      <c r="G579" s="628">
        <v>0</v>
      </c>
      <c r="H579" s="628">
        <v>13</v>
      </c>
      <c r="I579" s="628">
        <v>31</v>
      </c>
      <c r="J579" s="628">
        <v>0</v>
      </c>
      <c r="K579" s="628">
        <v>44</v>
      </c>
      <c r="L579" s="628">
        <v>31</v>
      </c>
      <c r="M579" s="640">
        <v>86.8</v>
      </c>
    </row>
    <row r="580" spans="1:13" ht="15" customHeight="1">
      <c r="A580" s="641">
        <v>11310</v>
      </c>
      <c r="B580" s="629" t="s">
        <v>283</v>
      </c>
      <c r="C580" s="629" t="s">
        <v>327</v>
      </c>
      <c r="D580" s="629" t="s">
        <v>328</v>
      </c>
      <c r="E580" s="630">
        <v>2.8</v>
      </c>
      <c r="F580" s="630" t="s">
        <v>119</v>
      </c>
      <c r="G580" s="630">
        <v>0</v>
      </c>
      <c r="H580" s="630">
        <v>0</v>
      </c>
      <c r="I580" s="630">
        <v>9</v>
      </c>
      <c r="J580" s="630">
        <v>0</v>
      </c>
      <c r="K580" s="630">
        <v>9</v>
      </c>
      <c r="L580" s="630">
        <v>9</v>
      </c>
      <c r="M580" s="642">
        <v>25.2</v>
      </c>
    </row>
    <row r="581" spans="1:13" ht="15" customHeight="1">
      <c r="A581" s="639">
        <v>11310</v>
      </c>
      <c r="B581" s="627" t="s">
        <v>283</v>
      </c>
      <c r="C581" s="627" t="s">
        <v>327</v>
      </c>
      <c r="D581" s="627" t="s">
        <v>328</v>
      </c>
      <c r="E581" s="628">
        <v>2.8</v>
      </c>
      <c r="F581" s="628" t="s">
        <v>122</v>
      </c>
      <c r="G581" s="628">
        <v>0</v>
      </c>
      <c r="H581" s="628">
        <v>4</v>
      </c>
      <c r="I581" s="628">
        <v>29</v>
      </c>
      <c r="J581" s="628">
        <v>0</v>
      </c>
      <c r="K581" s="628">
        <v>33</v>
      </c>
      <c r="L581" s="628">
        <v>29</v>
      </c>
      <c r="M581" s="640">
        <v>81.2</v>
      </c>
    </row>
    <row r="582" spans="1:13" ht="15" customHeight="1">
      <c r="A582" s="641">
        <v>11310</v>
      </c>
      <c r="B582" s="629" t="s">
        <v>283</v>
      </c>
      <c r="C582" s="629" t="s">
        <v>329</v>
      </c>
      <c r="D582" s="629" t="s">
        <v>330</v>
      </c>
      <c r="E582" s="630">
        <v>2.8</v>
      </c>
      <c r="F582" s="630" t="s">
        <v>119</v>
      </c>
      <c r="G582" s="630">
        <v>0</v>
      </c>
      <c r="H582" s="630">
        <v>0</v>
      </c>
      <c r="I582" s="630">
        <v>7</v>
      </c>
      <c r="J582" s="630">
        <v>0</v>
      </c>
      <c r="K582" s="630">
        <v>7</v>
      </c>
      <c r="L582" s="630">
        <v>7</v>
      </c>
      <c r="M582" s="642">
        <v>19.6</v>
      </c>
    </row>
    <row r="583" spans="1:13" ht="15" customHeight="1">
      <c r="A583" s="639">
        <v>11310</v>
      </c>
      <c r="B583" s="627" t="s">
        <v>283</v>
      </c>
      <c r="C583" s="627" t="s">
        <v>329</v>
      </c>
      <c r="D583" s="627" t="s">
        <v>330</v>
      </c>
      <c r="E583" s="628">
        <v>2.8</v>
      </c>
      <c r="F583" s="628" t="s">
        <v>122</v>
      </c>
      <c r="G583" s="628">
        <v>0</v>
      </c>
      <c r="H583" s="628">
        <v>7</v>
      </c>
      <c r="I583" s="628">
        <v>18</v>
      </c>
      <c r="J583" s="628">
        <v>0</v>
      </c>
      <c r="K583" s="628">
        <v>25</v>
      </c>
      <c r="L583" s="628">
        <v>18</v>
      </c>
      <c r="M583" s="640">
        <v>50.4</v>
      </c>
    </row>
    <row r="584" spans="1:13" ht="15" customHeight="1">
      <c r="A584" s="641">
        <v>11310</v>
      </c>
      <c r="B584" s="629" t="s">
        <v>283</v>
      </c>
      <c r="C584" s="629" t="s">
        <v>219</v>
      </c>
      <c r="D584" s="629" t="s">
        <v>220</v>
      </c>
      <c r="E584" s="630">
        <v>2.8</v>
      </c>
      <c r="F584" s="630" t="s">
        <v>119</v>
      </c>
      <c r="G584" s="630">
        <v>0</v>
      </c>
      <c r="H584" s="630">
        <v>0</v>
      </c>
      <c r="I584" s="630">
        <v>5</v>
      </c>
      <c r="J584" s="630">
        <v>0</v>
      </c>
      <c r="K584" s="630">
        <v>5</v>
      </c>
      <c r="L584" s="630">
        <v>5</v>
      </c>
      <c r="M584" s="642">
        <v>14</v>
      </c>
    </row>
    <row r="585" spans="1:13" ht="15" customHeight="1">
      <c r="A585" s="639">
        <v>11310</v>
      </c>
      <c r="B585" s="627" t="s">
        <v>283</v>
      </c>
      <c r="C585" s="627" t="s">
        <v>219</v>
      </c>
      <c r="D585" s="627" t="s">
        <v>220</v>
      </c>
      <c r="E585" s="628">
        <v>2.8</v>
      </c>
      <c r="F585" s="628" t="s">
        <v>122</v>
      </c>
      <c r="G585" s="628">
        <v>0</v>
      </c>
      <c r="H585" s="628">
        <v>8</v>
      </c>
      <c r="I585" s="628">
        <v>27</v>
      </c>
      <c r="J585" s="628">
        <v>0</v>
      </c>
      <c r="K585" s="628">
        <v>35</v>
      </c>
      <c r="L585" s="628">
        <v>27</v>
      </c>
      <c r="M585" s="640">
        <v>75.6</v>
      </c>
    </row>
    <row r="586" spans="1:13" ht="15" customHeight="1">
      <c r="A586" s="641">
        <v>11310</v>
      </c>
      <c r="B586" s="629" t="s">
        <v>283</v>
      </c>
      <c r="C586" s="629" t="s">
        <v>331</v>
      </c>
      <c r="D586" s="629" t="s">
        <v>332</v>
      </c>
      <c r="E586" s="630">
        <v>1.2</v>
      </c>
      <c r="F586" s="630" t="s">
        <v>122</v>
      </c>
      <c r="G586" s="630">
        <v>0</v>
      </c>
      <c r="H586" s="630">
        <v>1</v>
      </c>
      <c r="I586" s="630">
        <v>0</v>
      </c>
      <c r="J586" s="630">
        <v>0</v>
      </c>
      <c r="K586" s="630">
        <v>1</v>
      </c>
      <c r="L586" s="630">
        <v>0</v>
      </c>
      <c r="M586" s="642">
        <v>0</v>
      </c>
    </row>
    <row r="587" spans="1:13" ht="15" customHeight="1">
      <c r="A587" s="639">
        <v>11310</v>
      </c>
      <c r="B587" s="627" t="s">
        <v>283</v>
      </c>
      <c r="C587" s="627" t="s">
        <v>333</v>
      </c>
      <c r="D587" s="627" t="s">
        <v>334</v>
      </c>
      <c r="E587" s="628">
        <v>2.8</v>
      </c>
      <c r="F587" s="628" t="s">
        <v>119</v>
      </c>
      <c r="G587" s="628">
        <v>0</v>
      </c>
      <c r="H587" s="628">
        <v>0</v>
      </c>
      <c r="I587" s="628">
        <v>4</v>
      </c>
      <c r="J587" s="628">
        <v>0</v>
      </c>
      <c r="K587" s="628">
        <v>4</v>
      </c>
      <c r="L587" s="628">
        <v>4</v>
      </c>
      <c r="M587" s="640">
        <v>11.2</v>
      </c>
    </row>
    <row r="588" spans="1:13" ht="15" customHeight="1">
      <c r="A588" s="641">
        <v>11310</v>
      </c>
      <c r="B588" s="629" t="s">
        <v>283</v>
      </c>
      <c r="C588" s="629" t="s">
        <v>333</v>
      </c>
      <c r="D588" s="629" t="s">
        <v>334</v>
      </c>
      <c r="E588" s="630">
        <v>2.8</v>
      </c>
      <c r="F588" s="630" t="s">
        <v>122</v>
      </c>
      <c r="G588" s="630">
        <v>0</v>
      </c>
      <c r="H588" s="630">
        <v>1</v>
      </c>
      <c r="I588" s="630">
        <v>13</v>
      </c>
      <c r="J588" s="630">
        <v>0</v>
      </c>
      <c r="K588" s="630">
        <v>14</v>
      </c>
      <c r="L588" s="630">
        <v>13</v>
      </c>
      <c r="M588" s="642">
        <v>36.4</v>
      </c>
    </row>
    <row r="589" spans="1:13" ht="15" customHeight="1">
      <c r="A589" s="639">
        <v>11310</v>
      </c>
      <c r="B589" s="627" t="s">
        <v>283</v>
      </c>
      <c r="C589" s="627" t="s">
        <v>335</v>
      </c>
      <c r="D589" s="627" t="s">
        <v>336</v>
      </c>
      <c r="E589" s="628">
        <v>1.2</v>
      </c>
      <c r="F589" s="628" t="s">
        <v>119</v>
      </c>
      <c r="G589" s="628">
        <v>0</v>
      </c>
      <c r="H589" s="628">
        <v>0</v>
      </c>
      <c r="I589" s="628">
        <v>8</v>
      </c>
      <c r="J589" s="628">
        <v>0</v>
      </c>
      <c r="K589" s="628">
        <v>8</v>
      </c>
      <c r="L589" s="628">
        <v>8</v>
      </c>
      <c r="M589" s="640">
        <v>9.6</v>
      </c>
    </row>
    <row r="590" spans="1:13" ht="15" customHeight="1">
      <c r="A590" s="641">
        <v>11310</v>
      </c>
      <c r="B590" s="629" t="s">
        <v>283</v>
      </c>
      <c r="C590" s="629" t="s">
        <v>335</v>
      </c>
      <c r="D590" s="629" t="s">
        <v>336</v>
      </c>
      <c r="E590" s="630">
        <v>1.2</v>
      </c>
      <c r="F590" s="630" t="s">
        <v>122</v>
      </c>
      <c r="G590" s="630">
        <v>0</v>
      </c>
      <c r="H590" s="630">
        <v>1</v>
      </c>
      <c r="I590" s="630">
        <v>14</v>
      </c>
      <c r="J590" s="630">
        <v>0</v>
      </c>
      <c r="K590" s="630">
        <v>15</v>
      </c>
      <c r="L590" s="630">
        <v>14</v>
      </c>
      <c r="M590" s="642">
        <v>16.8</v>
      </c>
    </row>
    <row r="591" spans="1:13" ht="15" customHeight="1">
      <c r="A591" s="639">
        <v>11310</v>
      </c>
      <c r="B591" s="627" t="s">
        <v>283</v>
      </c>
      <c r="C591" s="627" t="s">
        <v>337</v>
      </c>
      <c r="D591" s="627" t="s">
        <v>338</v>
      </c>
      <c r="E591" s="628">
        <v>2.25</v>
      </c>
      <c r="F591" s="628" t="s">
        <v>119</v>
      </c>
      <c r="G591" s="628">
        <v>0</v>
      </c>
      <c r="H591" s="628">
        <v>0</v>
      </c>
      <c r="I591" s="628">
        <v>18</v>
      </c>
      <c r="J591" s="628">
        <v>0</v>
      </c>
      <c r="K591" s="628">
        <v>18</v>
      </c>
      <c r="L591" s="628">
        <v>18</v>
      </c>
      <c r="M591" s="640">
        <v>40.5</v>
      </c>
    </row>
    <row r="592" spans="1:13" ht="15" customHeight="1">
      <c r="A592" s="641">
        <v>11310</v>
      </c>
      <c r="B592" s="629" t="s">
        <v>283</v>
      </c>
      <c r="C592" s="629" t="s">
        <v>337</v>
      </c>
      <c r="D592" s="629" t="s">
        <v>338</v>
      </c>
      <c r="E592" s="630">
        <v>2.25</v>
      </c>
      <c r="F592" s="630" t="s">
        <v>122</v>
      </c>
      <c r="G592" s="630">
        <v>0</v>
      </c>
      <c r="H592" s="630">
        <v>33</v>
      </c>
      <c r="I592" s="630">
        <v>64</v>
      </c>
      <c r="J592" s="630">
        <v>1</v>
      </c>
      <c r="K592" s="630">
        <v>98</v>
      </c>
      <c r="L592" s="630">
        <v>64.5</v>
      </c>
      <c r="M592" s="642">
        <v>145.13</v>
      </c>
    </row>
    <row r="593" spans="1:13" ht="15" customHeight="1">
      <c r="A593" s="639">
        <v>11310</v>
      </c>
      <c r="B593" s="627" t="s">
        <v>283</v>
      </c>
      <c r="C593" s="627" t="s">
        <v>339</v>
      </c>
      <c r="D593" s="627" t="s">
        <v>340</v>
      </c>
      <c r="E593" s="628">
        <v>2.25</v>
      </c>
      <c r="F593" s="628" t="s">
        <v>119</v>
      </c>
      <c r="G593" s="628">
        <v>0</v>
      </c>
      <c r="H593" s="628">
        <v>0</v>
      </c>
      <c r="I593" s="628">
        <v>10</v>
      </c>
      <c r="J593" s="628">
        <v>0</v>
      </c>
      <c r="K593" s="628">
        <v>10</v>
      </c>
      <c r="L593" s="628">
        <v>10</v>
      </c>
      <c r="M593" s="640">
        <v>22.5</v>
      </c>
    </row>
    <row r="594" spans="1:13" ht="15" customHeight="1">
      <c r="A594" s="641">
        <v>11310</v>
      </c>
      <c r="B594" s="629" t="s">
        <v>283</v>
      </c>
      <c r="C594" s="629" t="s">
        <v>339</v>
      </c>
      <c r="D594" s="629" t="s">
        <v>340</v>
      </c>
      <c r="E594" s="630">
        <v>2.25</v>
      </c>
      <c r="F594" s="630" t="s">
        <v>122</v>
      </c>
      <c r="G594" s="630">
        <v>0</v>
      </c>
      <c r="H594" s="630">
        <v>21</v>
      </c>
      <c r="I594" s="630">
        <v>41</v>
      </c>
      <c r="J594" s="630">
        <v>0</v>
      </c>
      <c r="K594" s="630">
        <v>62</v>
      </c>
      <c r="L594" s="630">
        <v>41</v>
      </c>
      <c r="M594" s="642">
        <v>92.25</v>
      </c>
    </row>
    <row r="595" spans="1:13" ht="15" customHeight="1">
      <c r="A595" s="639">
        <v>11310</v>
      </c>
      <c r="B595" s="627" t="s">
        <v>283</v>
      </c>
      <c r="C595" s="627" t="s">
        <v>75</v>
      </c>
      <c r="D595" s="627" t="s">
        <v>76</v>
      </c>
      <c r="E595" s="628">
        <v>2.8</v>
      </c>
      <c r="F595" s="628" t="s">
        <v>119</v>
      </c>
      <c r="G595" s="628">
        <v>0</v>
      </c>
      <c r="H595" s="628">
        <v>0</v>
      </c>
      <c r="I595" s="628">
        <v>4</v>
      </c>
      <c r="J595" s="628">
        <v>0</v>
      </c>
      <c r="K595" s="628">
        <v>4</v>
      </c>
      <c r="L595" s="628">
        <v>4</v>
      </c>
      <c r="M595" s="640">
        <v>11.2</v>
      </c>
    </row>
    <row r="596" spans="1:13" ht="15" customHeight="1">
      <c r="A596" s="641">
        <v>11310</v>
      </c>
      <c r="B596" s="629" t="s">
        <v>283</v>
      </c>
      <c r="C596" s="629" t="s">
        <v>75</v>
      </c>
      <c r="D596" s="629" t="s">
        <v>76</v>
      </c>
      <c r="E596" s="630">
        <v>2.8</v>
      </c>
      <c r="F596" s="630" t="s">
        <v>122</v>
      </c>
      <c r="G596" s="630">
        <v>0</v>
      </c>
      <c r="H596" s="630">
        <v>8</v>
      </c>
      <c r="I596" s="630">
        <v>19</v>
      </c>
      <c r="J596" s="630">
        <v>0</v>
      </c>
      <c r="K596" s="630">
        <v>27</v>
      </c>
      <c r="L596" s="630">
        <v>19</v>
      </c>
      <c r="M596" s="642">
        <v>53.2</v>
      </c>
    </row>
    <row r="597" spans="1:13" ht="15" customHeight="1">
      <c r="A597" s="639">
        <v>11310</v>
      </c>
      <c r="B597" s="627" t="s">
        <v>283</v>
      </c>
      <c r="C597" s="627" t="s">
        <v>166</v>
      </c>
      <c r="D597" s="627" t="s">
        <v>167</v>
      </c>
      <c r="E597" s="628">
        <v>1.65</v>
      </c>
      <c r="F597" s="628" t="s">
        <v>122</v>
      </c>
      <c r="G597" s="628">
        <v>0</v>
      </c>
      <c r="H597" s="628">
        <v>1</v>
      </c>
      <c r="I597" s="628">
        <v>0</v>
      </c>
      <c r="J597" s="628">
        <v>0</v>
      </c>
      <c r="K597" s="628">
        <v>1</v>
      </c>
      <c r="L597" s="628">
        <v>0</v>
      </c>
      <c r="M597" s="640">
        <v>0</v>
      </c>
    </row>
    <row r="598" spans="1:13" ht="15" customHeight="1">
      <c r="A598" s="641">
        <v>11310</v>
      </c>
      <c r="B598" s="629" t="s">
        <v>283</v>
      </c>
      <c r="C598" s="629" t="s">
        <v>341</v>
      </c>
      <c r="D598" s="629" t="s">
        <v>342</v>
      </c>
      <c r="E598" s="630">
        <v>1.65</v>
      </c>
      <c r="F598" s="630" t="s">
        <v>119</v>
      </c>
      <c r="G598" s="630">
        <v>0</v>
      </c>
      <c r="H598" s="630">
        <v>0</v>
      </c>
      <c r="I598" s="630">
        <v>10</v>
      </c>
      <c r="J598" s="630">
        <v>0</v>
      </c>
      <c r="K598" s="630">
        <v>10</v>
      </c>
      <c r="L598" s="630">
        <v>10</v>
      </c>
      <c r="M598" s="642">
        <v>16.5</v>
      </c>
    </row>
    <row r="599" spans="1:13" ht="15" customHeight="1">
      <c r="A599" s="639">
        <v>11310</v>
      </c>
      <c r="B599" s="627" t="s">
        <v>283</v>
      </c>
      <c r="C599" s="627" t="s">
        <v>341</v>
      </c>
      <c r="D599" s="627" t="s">
        <v>342</v>
      </c>
      <c r="E599" s="628">
        <v>1.65</v>
      </c>
      <c r="F599" s="628" t="s">
        <v>122</v>
      </c>
      <c r="G599" s="628">
        <v>0</v>
      </c>
      <c r="H599" s="628">
        <v>3</v>
      </c>
      <c r="I599" s="628">
        <v>27</v>
      </c>
      <c r="J599" s="628">
        <v>1</v>
      </c>
      <c r="K599" s="628">
        <v>31</v>
      </c>
      <c r="L599" s="628">
        <v>27.5</v>
      </c>
      <c r="M599" s="640">
        <v>45.38</v>
      </c>
    </row>
    <row r="600" spans="1:13" ht="15" customHeight="1">
      <c r="A600" s="641">
        <v>11310</v>
      </c>
      <c r="B600" s="629" t="s">
        <v>283</v>
      </c>
      <c r="C600" s="629" t="s">
        <v>139</v>
      </c>
      <c r="D600" s="629" t="s">
        <v>140</v>
      </c>
      <c r="E600" s="630">
        <v>2.25</v>
      </c>
      <c r="F600" s="630" t="s">
        <v>119</v>
      </c>
      <c r="G600" s="630">
        <v>0</v>
      </c>
      <c r="H600" s="630">
        <v>0</v>
      </c>
      <c r="I600" s="630">
        <v>8</v>
      </c>
      <c r="J600" s="630">
        <v>0</v>
      </c>
      <c r="K600" s="630">
        <v>8</v>
      </c>
      <c r="L600" s="630">
        <v>8</v>
      </c>
      <c r="M600" s="642">
        <v>18</v>
      </c>
    </row>
    <row r="601" spans="1:13" ht="15" customHeight="1">
      <c r="A601" s="639">
        <v>11310</v>
      </c>
      <c r="B601" s="627" t="s">
        <v>283</v>
      </c>
      <c r="C601" s="627" t="s">
        <v>139</v>
      </c>
      <c r="D601" s="627" t="s">
        <v>140</v>
      </c>
      <c r="E601" s="628">
        <v>2.25</v>
      </c>
      <c r="F601" s="628" t="s">
        <v>122</v>
      </c>
      <c r="G601" s="628">
        <v>0</v>
      </c>
      <c r="H601" s="628">
        <v>10</v>
      </c>
      <c r="I601" s="628">
        <v>28</v>
      </c>
      <c r="J601" s="628">
        <v>1</v>
      </c>
      <c r="K601" s="628">
        <v>39</v>
      </c>
      <c r="L601" s="628">
        <v>28.5</v>
      </c>
      <c r="M601" s="640">
        <v>64.13</v>
      </c>
    </row>
    <row r="602" spans="1:13" ht="15" customHeight="1">
      <c r="A602" s="641">
        <v>11310</v>
      </c>
      <c r="B602" s="629" t="s">
        <v>283</v>
      </c>
      <c r="C602" s="629" t="s">
        <v>77</v>
      </c>
      <c r="D602" s="629" t="s">
        <v>78</v>
      </c>
      <c r="E602" s="630">
        <v>2.25</v>
      </c>
      <c r="F602" s="630" t="s">
        <v>119</v>
      </c>
      <c r="G602" s="630">
        <v>0</v>
      </c>
      <c r="H602" s="630">
        <v>0</v>
      </c>
      <c r="I602" s="630">
        <v>18</v>
      </c>
      <c r="J602" s="630">
        <v>0</v>
      </c>
      <c r="K602" s="630">
        <v>18</v>
      </c>
      <c r="L602" s="630">
        <v>18</v>
      </c>
      <c r="M602" s="642">
        <v>40.5</v>
      </c>
    </row>
    <row r="603" spans="1:13" ht="15" customHeight="1">
      <c r="A603" s="639">
        <v>11310</v>
      </c>
      <c r="B603" s="627" t="s">
        <v>283</v>
      </c>
      <c r="C603" s="627" t="s">
        <v>77</v>
      </c>
      <c r="D603" s="627" t="s">
        <v>78</v>
      </c>
      <c r="E603" s="628">
        <v>2.25</v>
      </c>
      <c r="F603" s="628" t="s">
        <v>122</v>
      </c>
      <c r="G603" s="628">
        <v>0</v>
      </c>
      <c r="H603" s="628">
        <v>40</v>
      </c>
      <c r="I603" s="628">
        <v>70</v>
      </c>
      <c r="J603" s="628">
        <v>0</v>
      </c>
      <c r="K603" s="628">
        <v>110</v>
      </c>
      <c r="L603" s="628">
        <v>70</v>
      </c>
      <c r="M603" s="640">
        <v>157.5</v>
      </c>
    </row>
    <row r="604" spans="1:13" ht="15" customHeight="1">
      <c r="A604" s="641">
        <v>11310</v>
      </c>
      <c r="B604" s="629" t="s">
        <v>283</v>
      </c>
      <c r="C604" s="629" t="s">
        <v>343</v>
      </c>
      <c r="D604" s="629" t="s">
        <v>344</v>
      </c>
      <c r="E604" s="630">
        <v>2.25</v>
      </c>
      <c r="F604" s="630" t="s">
        <v>119</v>
      </c>
      <c r="G604" s="630">
        <v>0</v>
      </c>
      <c r="H604" s="630">
        <v>0</v>
      </c>
      <c r="I604" s="630">
        <v>13</v>
      </c>
      <c r="J604" s="630">
        <v>0</v>
      </c>
      <c r="K604" s="630">
        <v>13</v>
      </c>
      <c r="L604" s="630">
        <v>13</v>
      </c>
      <c r="M604" s="642">
        <v>29.25</v>
      </c>
    </row>
    <row r="605" spans="1:13" ht="15" customHeight="1">
      <c r="A605" s="639">
        <v>11310</v>
      </c>
      <c r="B605" s="627" t="s">
        <v>283</v>
      </c>
      <c r="C605" s="627" t="s">
        <v>343</v>
      </c>
      <c r="D605" s="627" t="s">
        <v>344</v>
      </c>
      <c r="E605" s="628">
        <v>2.25</v>
      </c>
      <c r="F605" s="628" t="s">
        <v>122</v>
      </c>
      <c r="G605" s="628">
        <v>0</v>
      </c>
      <c r="H605" s="628">
        <v>18</v>
      </c>
      <c r="I605" s="628">
        <v>43</v>
      </c>
      <c r="J605" s="628">
        <v>1</v>
      </c>
      <c r="K605" s="628">
        <v>62</v>
      </c>
      <c r="L605" s="628">
        <v>43.5</v>
      </c>
      <c r="M605" s="640">
        <v>97.88</v>
      </c>
    </row>
    <row r="606" spans="1:13" ht="15" customHeight="1">
      <c r="A606" s="641">
        <v>11310</v>
      </c>
      <c r="B606" s="629" t="s">
        <v>283</v>
      </c>
      <c r="C606" s="629" t="s">
        <v>141</v>
      </c>
      <c r="D606" s="629" t="s">
        <v>142</v>
      </c>
      <c r="E606" s="630">
        <v>2.25</v>
      </c>
      <c r="F606" s="630" t="s">
        <v>119</v>
      </c>
      <c r="G606" s="630">
        <v>0</v>
      </c>
      <c r="H606" s="630">
        <v>0</v>
      </c>
      <c r="I606" s="630">
        <v>8</v>
      </c>
      <c r="J606" s="630">
        <v>0</v>
      </c>
      <c r="K606" s="630">
        <v>8</v>
      </c>
      <c r="L606" s="630">
        <v>8</v>
      </c>
      <c r="M606" s="642">
        <v>18</v>
      </c>
    </row>
    <row r="607" spans="1:13" ht="15" customHeight="1">
      <c r="A607" s="639">
        <v>11310</v>
      </c>
      <c r="B607" s="627" t="s">
        <v>283</v>
      </c>
      <c r="C607" s="627" t="s">
        <v>141</v>
      </c>
      <c r="D607" s="627" t="s">
        <v>142</v>
      </c>
      <c r="E607" s="628">
        <v>2.25</v>
      </c>
      <c r="F607" s="628" t="s">
        <v>122</v>
      </c>
      <c r="G607" s="628">
        <v>0</v>
      </c>
      <c r="H607" s="628">
        <v>15</v>
      </c>
      <c r="I607" s="628">
        <v>14</v>
      </c>
      <c r="J607" s="628">
        <v>0</v>
      </c>
      <c r="K607" s="628">
        <v>29</v>
      </c>
      <c r="L607" s="628">
        <v>14</v>
      </c>
      <c r="M607" s="640">
        <v>31.5</v>
      </c>
    </row>
    <row r="608" spans="1:13" ht="15" customHeight="1">
      <c r="A608" s="641">
        <v>11310</v>
      </c>
      <c r="B608" s="629" t="s">
        <v>283</v>
      </c>
      <c r="C608" s="629" t="s">
        <v>79</v>
      </c>
      <c r="D608" s="629" t="s">
        <v>80</v>
      </c>
      <c r="E608" s="630">
        <v>2.25</v>
      </c>
      <c r="F608" s="630" t="s">
        <v>119</v>
      </c>
      <c r="G608" s="630">
        <v>0</v>
      </c>
      <c r="H608" s="630">
        <v>0</v>
      </c>
      <c r="I608" s="630">
        <v>8</v>
      </c>
      <c r="J608" s="630">
        <v>0</v>
      </c>
      <c r="K608" s="630">
        <v>8</v>
      </c>
      <c r="L608" s="630">
        <v>8</v>
      </c>
      <c r="M608" s="642">
        <v>18</v>
      </c>
    </row>
    <row r="609" spans="1:13" ht="15" customHeight="1">
      <c r="A609" s="639">
        <v>11310</v>
      </c>
      <c r="B609" s="627" t="s">
        <v>283</v>
      </c>
      <c r="C609" s="627" t="s">
        <v>79</v>
      </c>
      <c r="D609" s="627" t="s">
        <v>80</v>
      </c>
      <c r="E609" s="628">
        <v>2.25</v>
      </c>
      <c r="F609" s="628" t="s">
        <v>122</v>
      </c>
      <c r="G609" s="628">
        <v>0</v>
      </c>
      <c r="H609" s="628">
        <v>9</v>
      </c>
      <c r="I609" s="628">
        <v>31</v>
      </c>
      <c r="J609" s="628">
        <v>0</v>
      </c>
      <c r="K609" s="628">
        <v>40</v>
      </c>
      <c r="L609" s="628">
        <v>31</v>
      </c>
      <c r="M609" s="640">
        <v>69.75</v>
      </c>
    </row>
    <row r="610" spans="1:13" ht="15" customHeight="1">
      <c r="A610" s="641">
        <v>11310</v>
      </c>
      <c r="B610" s="629" t="s">
        <v>283</v>
      </c>
      <c r="C610" s="629" t="s">
        <v>345</v>
      </c>
      <c r="D610" s="629" t="s">
        <v>346</v>
      </c>
      <c r="E610" s="630">
        <v>2.25</v>
      </c>
      <c r="F610" s="630" t="s">
        <v>119</v>
      </c>
      <c r="G610" s="630">
        <v>0</v>
      </c>
      <c r="H610" s="630">
        <v>1</v>
      </c>
      <c r="I610" s="630">
        <v>4</v>
      </c>
      <c r="J610" s="630">
        <v>0</v>
      </c>
      <c r="K610" s="630">
        <v>5</v>
      </c>
      <c r="L610" s="630">
        <v>4</v>
      </c>
      <c r="M610" s="642">
        <v>9</v>
      </c>
    </row>
    <row r="611" spans="1:13" ht="15" customHeight="1">
      <c r="A611" s="639">
        <v>11310</v>
      </c>
      <c r="B611" s="627" t="s">
        <v>283</v>
      </c>
      <c r="C611" s="627" t="s">
        <v>345</v>
      </c>
      <c r="D611" s="627" t="s">
        <v>346</v>
      </c>
      <c r="E611" s="628">
        <v>2.25</v>
      </c>
      <c r="F611" s="628" t="s">
        <v>122</v>
      </c>
      <c r="G611" s="628">
        <v>0</v>
      </c>
      <c r="H611" s="628">
        <v>5</v>
      </c>
      <c r="I611" s="628">
        <v>20</v>
      </c>
      <c r="J611" s="628">
        <v>0</v>
      </c>
      <c r="K611" s="628">
        <v>25</v>
      </c>
      <c r="L611" s="628">
        <v>20</v>
      </c>
      <c r="M611" s="640">
        <v>45</v>
      </c>
    </row>
    <row r="612" spans="1:13" ht="15" customHeight="1">
      <c r="A612" s="641">
        <v>11310</v>
      </c>
      <c r="B612" s="629" t="s">
        <v>283</v>
      </c>
      <c r="C612" s="629" t="s">
        <v>347</v>
      </c>
      <c r="D612" s="629" t="s">
        <v>348</v>
      </c>
      <c r="E612" s="630">
        <v>2.25</v>
      </c>
      <c r="F612" s="630" t="s">
        <v>119</v>
      </c>
      <c r="G612" s="630">
        <v>0</v>
      </c>
      <c r="H612" s="630">
        <v>0</v>
      </c>
      <c r="I612" s="630">
        <v>5</v>
      </c>
      <c r="J612" s="630">
        <v>0</v>
      </c>
      <c r="K612" s="630">
        <v>5</v>
      </c>
      <c r="L612" s="630">
        <v>5</v>
      </c>
      <c r="M612" s="642">
        <v>11.25</v>
      </c>
    </row>
    <row r="613" spans="1:13" ht="15" customHeight="1">
      <c r="A613" s="639">
        <v>11310</v>
      </c>
      <c r="B613" s="627" t="s">
        <v>283</v>
      </c>
      <c r="C613" s="627" t="s">
        <v>347</v>
      </c>
      <c r="D613" s="627" t="s">
        <v>348</v>
      </c>
      <c r="E613" s="628">
        <v>2.25</v>
      </c>
      <c r="F613" s="628" t="s">
        <v>122</v>
      </c>
      <c r="G613" s="628">
        <v>0</v>
      </c>
      <c r="H613" s="628">
        <v>9</v>
      </c>
      <c r="I613" s="628">
        <v>16</v>
      </c>
      <c r="J613" s="628">
        <v>0</v>
      </c>
      <c r="K613" s="628">
        <v>25</v>
      </c>
      <c r="L613" s="628">
        <v>16</v>
      </c>
      <c r="M613" s="640">
        <v>36</v>
      </c>
    </row>
    <row r="614" spans="1:13" ht="15" customHeight="1">
      <c r="A614" s="641">
        <v>11310</v>
      </c>
      <c r="B614" s="629" t="s">
        <v>283</v>
      </c>
      <c r="C614" s="629" t="s">
        <v>143</v>
      </c>
      <c r="D614" s="629" t="s">
        <v>144</v>
      </c>
      <c r="E614" s="630">
        <v>2.25</v>
      </c>
      <c r="F614" s="630" t="s">
        <v>119</v>
      </c>
      <c r="G614" s="630">
        <v>0</v>
      </c>
      <c r="H614" s="630">
        <v>0</v>
      </c>
      <c r="I614" s="630">
        <v>22</v>
      </c>
      <c r="J614" s="630">
        <v>0</v>
      </c>
      <c r="K614" s="630">
        <v>22</v>
      </c>
      <c r="L614" s="630">
        <v>22</v>
      </c>
      <c r="M614" s="642">
        <v>49.5</v>
      </c>
    </row>
    <row r="615" spans="1:13" ht="15" customHeight="1">
      <c r="A615" s="639">
        <v>11310</v>
      </c>
      <c r="B615" s="627" t="s">
        <v>283</v>
      </c>
      <c r="C615" s="627" t="s">
        <v>143</v>
      </c>
      <c r="D615" s="627" t="s">
        <v>144</v>
      </c>
      <c r="E615" s="628">
        <v>2.25</v>
      </c>
      <c r="F615" s="628" t="s">
        <v>122</v>
      </c>
      <c r="G615" s="628">
        <v>0</v>
      </c>
      <c r="H615" s="628">
        <v>23</v>
      </c>
      <c r="I615" s="628">
        <v>70</v>
      </c>
      <c r="J615" s="628">
        <v>0</v>
      </c>
      <c r="K615" s="628">
        <v>93</v>
      </c>
      <c r="L615" s="628">
        <v>70</v>
      </c>
      <c r="M615" s="640">
        <v>157.5</v>
      </c>
    </row>
    <row r="616" spans="1:13" ht="15" customHeight="1" thickBot="1">
      <c r="A616" s="641">
        <v>11310</v>
      </c>
      <c r="B616" s="629" t="s">
        <v>283</v>
      </c>
      <c r="C616" s="629" t="s">
        <v>349</v>
      </c>
      <c r="D616" s="629" t="s">
        <v>350</v>
      </c>
      <c r="E616" s="630">
        <v>2.25</v>
      </c>
      <c r="F616" s="630" t="s">
        <v>119</v>
      </c>
      <c r="G616" s="630">
        <v>0</v>
      </c>
      <c r="H616" s="630">
        <v>0</v>
      </c>
      <c r="I616" s="630">
        <v>8</v>
      </c>
      <c r="J616" s="630">
        <v>0</v>
      </c>
      <c r="K616" s="630">
        <v>8</v>
      </c>
      <c r="L616" s="630">
        <v>8</v>
      </c>
      <c r="M616" s="642">
        <v>18</v>
      </c>
    </row>
    <row r="617" spans="1:15" ht="15" customHeight="1" thickBot="1">
      <c r="A617" s="639">
        <v>11310</v>
      </c>
      <c r="B617" s="627" t="s">
        <v>283</v>
      </c>
      <c r="C617" s="627" t="s">
        <v>349</v>
      </c>
      <c r="D617" s="627" t="s">
        <v>350</v>
      </c>
      <c r="E617" s="628">
        <v>2.25</v>
      </c>
      <c r="F617" s="628" t="s">
        <v>122</v>
      </c>
      <c r="G617" s="628">
        <v>0</v>
      </c>
      <c r="H617" s="628">
        <v>12</v>
      </c>
      <c r="I617" s="628">
        <v>21</v>
      </c>
      <c r="J617" s="628">
        <v>0</v>
      </c>
      <c r="K617" s="628">
        <v>33</v>
      </c>
      <c r="L617" s="628">
        <v>21</v>
      </c>
      <c r="M617" s="640">
        <v>47.25</v>
      </c>
      <c r="N617" s="606" t="s">
        <v>126</v>
      </c>
      <c r="O617" s="607" t="s">
        <v>698</v>
      </c>
    </row>
    <row r="618" spans="1:15" ht="15" customHeight="1" thickBot="1">
      <c r="A618" s="641">
        <v>11310</v>
      </c>
      <c r="B618" s="629" t="s">
        <v>283</v>
      </c>
      <c r="C618" s="629" t="s">
        <v>351</v>
      </c>
      <c r="D618" s="629" t="s">
        <v>352</v>
      </c>
      <c r="E618" s="630">
        <v>1</v>
      </c>
      <c r="F618" s="630" t="s">
        <v>119</v>
      </c>
      <c r="G618" s="630">
        <v>0</v>
      </c>
      <c r="H618" s="630">
        <v>1</v>
      </c>
      <c r="I618" s="630">
        <v>2</v>
      </c>
      <c r="J618" s="630">
        <v>0</v>
      </c>
      <c r="K618" s="630">
        <v>3</v>
      </c>
      <c r="L618" s="630">
        <v>2</v>
      </c>
      <c r="M618" s="642">
        <v>2</v>
      </c>
      <c r="N618" s="608">
        <f>SUM(L507:L610)</f>
        <v>4025.5</v>
      </c>
      <c r="O618" s="609">
        <f>SUM(M507:M610)</f>
        <v>9266.379999999997</v>
      </c>
    </row>
    <row r="619" spans="1:13" ht="15" customHeight="1">
      <c r="A619" s="639">
        <v>11310</v>
      </c>
      <c r="B619" s="627" t="s">
        <v>283</v>
      </c>
      <c r="C619" s="627" t="s">
        <v>351</v>
      </c>
      <c r="D619" s="627" t="s">
        <v>352</v>
      </c>
      <c r="E619" s="628">
        <v>1</v>
      </c>
      <c r="F619" s="628" t="s">
        <v>122</v>
      </c>
      <c r="G619" s="628">
        <v>0</v>
      </c>
      <c r="H619" s="628">
        <v>6</v>
      </c>
      <c r="I619" s="628">
        <v>15</v>
      </c>
      <c r="J619" s="628">
        <v>0</v>
      </c>
      <c r="K619" s="628">
        <v>21</v>
      </c>
      <c r="L619" s="628">
        <v>15</v>
      </c>
      <c r="M619" s="640">
        <v>15</v>
      </c>
    </row>
    <row r="620" spans="1:13" ht="15" customHeight="1">
      <c r="A620" s="643">
        <v>11310</v>
      </c>
      <c r="B620" s="631" t="s">
        <v>163</v>
      </c>
      <c r="C620" s="631"/>
      <c r="D620" s="631"/>
      <c r="E620" s="631"/>
      <c r="F620" s="632" t="s">
        <v>132</v>
      </c>
      <c r="G620" s="632">
        <v>643</v>
      </c>
      <c r="H620" s="632">
        <v>12</v>
      </c>
      <c r="I620" s="632">
        <v>230</v>
      </c>
      <c r="J620" s="632">
        <v>3</v>
      </c>
      <c r="K620" s="632">
        <v>888</v>
      </c>
      <c r="L620" s="632"/>
      <c r="M620" s="644"/>
    </row>
    <row r="621" spans="1:13" ht="15" customHeight="1">
      <c r="A621" s="643">
        <v>11310</v>
      </c>
      <c r="B621" s="631" t="s">
        <v>163</v>
      </c>
      <c r="C621" s="631"/>
      <c r="D621" s="631"/>
      <c r="E621" s="631"/>
      <c r="F621" s="632" t="s">
        <v>109</v>
      </c>
      <c r="G621" s="632">
        <v>0</v>
      </c>
      <c r="H621" s="632">
        <v>129</v>
      </c>
      <c r="I621" s="632">
        <v>1207</v>
      </c>
      <c r="J621" s="632">
        <v>34</v>
      </c>
      <c r="K621" s="632">
        <v>1370</v>
      </c>
      <c r="L621" s="632"/>
      <c r="M621" s="644"/>
    </row>
    <row r="622" spans="1:13" ht="15" customHeight="1">
      <c r="A622" s="643">
        <v>11310</v>
      </c>
      <c r="B622" s="631" t="s">
        <v>163</v>
      </c>
      <c r="C622" s="631"/>
      <c r="D622" s="631"/>
      <c r="E622" s="631"/>
      <c r="F622" s="632" t="s">
        <v>110</v>
      </c>
      <c r="G622" s="632">
        <v>0</v>
      </c>
      <c r="H622" s="632">
        <v>0</v>
      </c>
      <c r="I622" s="632">
        <v>0</v>
      </c>
      <c r="J622" s="632">
        <v>0</v>
      </c>
      <c r="K622" s="632">
        <v>0</v>
      </c>
      <c r="L622" s="632"/>
      <c r="M622" s="644"/>
    </row>
    <row r="623" spans="1:13" ht="15" customHeight="1">
      <c r="A623" s="643">
        <v>11310</v>
      </c>
      <c r="B623" s="631" t="s">
        <v>163</v>
      </c>
      <c r="C623" s="631"/>
      <c r="D623" s="631"/>
      <c r="E623" s="631"/>
      <c r="F623" s="632" t="s">
        <v>113</v>
      </c>
      <c r="G623" s="632">
        <v>0</v>
      </c>
      <c r="H623" s="632">
        <v>0</v>
      </c>
      <c r="I623" s="632">
        <v>0</v>
      </c>
      <c r="J623" s="632">
        <v>0</v>
      </c>
      <c r="K623" s="632">
        <v>0</v>
      </c>
      <c r="L623" s="632"/>
      <c r="M623" s="644"/>
    </row>
    <row r="624" spans="1:13" ht="15" customHeight="1">
      <c r="A624" s="643">
        <v>11310</v>
      </c>
      <c r="B624" s="631" t="s">
        <v>163</v>
      </c>
      <c r="C624" s="631"/>
      <c r="D624" s="631"/>
      <c r="E624" s="631"/>
      <c r="F624" s="632" t="s">
        <v>116</v>
      </c>
      <c r="G624" s="632">
        <v>0</v>
      </c>
      <c r="H624" s="632">
        <v>2</v>
      </c>
      <c r="I624" s="632">
        <v>455</v>
      </c>
      <c r="J624" s="632">
        <v>1</v>
      </c>
      <c r="K624" s="632">
        <v>458</v>
      </c>
      <c r="L624" s="632"/>
      <c r="M624" s="644"/>
    </row>
    <row r="625" spans="1:13" ht="15" customHeight="1">
      <c r="A625" s="643">
        <v>11310</v>
      </c>
      <c r="B625" s="631" t="s">
        <v>163</v>
      </c>
      <c r="C625" s="631"/>
      <c r="D625" s="631"/>
      <c r="E625" s="631"/>
      <c r="F625" s="632" t="s">
        <v>114</v>
      </c>
      <c r="G625" s="632">
        <v>0</v>
      </c>
      <c r="H625" s="632">
        <v>70</v>
      </c>
      <c r="I625" s="632">
        <v>583</v>
      </c>
      <c r="J625" s="632">
        <v>3</v>
      </c>
      <c r="K625" s="632">
        <v>656</v>
      </c>
      <c r="L625" s="632"/>
      <c r="M625" s="644"/>
    </row>
    <row r="626" spans="1:13" ht="15" customHeight="1">
      <c r="A626" s="643">
        <v>11310</v>
      </c>
      <c r="B626" s="631" t="s">
        <v>163</v>
      </c>
      <c r="C626" s="631"/>
      <c r="D626" s="631"/>
      <c r="E626" s="631"/>
      <c r="F626" s="632" t="s">
        <v>119</v>
      </c>
      <c r="G626" s="632">
        <v>0</v>
      </c>
      <c r="H626" s="632">
        <v>4</v>
      </c>
      <c r="I626" s="632">
        <v>249</v>
      </c>
      <c r="J626" s="632">
        <v>0</v>
      </c>
      <c r="K626" s="632">
        <v>253</v>
      </c>
      <c r="L626" s="632"/>
      <c r="M626" s="644"/>
    </row>
    <row r="627" spans="1:13" ht="15" customHeight="1">
      <c r="A627" s="643">
        <v>11310</v>
      </c>
      <c r="B627" s="631" t="s">
        <v>163</v>
      </c>
      <c r="C627" s="631"/>
      <c r="D627" s="631"/>
      <c r="E627" s="631"/>
      <c r="F627" s="632" t="s">
        <v>122</v>
      </c>
      <c r="G627" s="632">
        <v>0</v>
      </c>
      <c r="H627" s="632">
        <v>342</v>
      </c>
      <c r="I627" s="632">
        <v>814</v>
      </c>
      <c r="J627" s="632">
        <v>6</v>
      </c>
      <c r="K627" s="632">
        <v>1162</v>
      </c>
      <c r="L627" s="632"/>
      <c r="M627" s="644"/>
    </row>
    <row r="628" spans="1:13" ht="15" customHeight="1">
      <c r="A628" s="641">
        <v>11320</v>
      </c>
      <c r="B628" s="629" t="s">
        <v>353</v>
      </c>
      <c r="C628" s="629" t="s">
        <v>354</v>
      </c>
      <c r="D628" s="629" t="s">
        <v>85</v>
      </c>
      <c r="E628" s="630">
        <v>2.25</v>
      </c>
      <c r="F628" s="630" t="s">
        <v>132</v>
      </c>
      <c r="G628" s="630">
        <v>209</v>
      </c>
      <c r="H628" s="630">
        <v>4</v>
      </c>
      <c r="I628" s="630">
        <v>41</v>
      </c>
      <c r="J628" s="630">
        <v>0</v>
      </c>
      <c r="K628" s="630">
        <v>254</v>
      </c>
      <c r="L628" s="630">
        <v>250</v>
      </c>
      <c r="M628" s="642">
        <v>562.5</v>
      </c>
    </row>
    <row r="629" spans="1:13" ht="15" customHeight="1">
      <c r="A629" s="639">
        <v>11320</v>
      </c>
      <c r="B629" s="627" t="s">
        <v>353</v>
      </c>
      <c r="C629" s="627" t="s">
        <v>354</v>
      </c>
      <c r="D629" s="627" t="s">
        <v>85</v>
      </c>
      <c r="E629" s="628">
        <v>2.25</v>
      </c>
      <c r="F629" s="628" t="s">
        <v>109</v>
      </c>
      <c r="G629" s="628">
        <v>0</v>
      </c>
      <c r="H629" s="628">
        <v>17</v>
      </c>
      <c r="I629" s="628">
        <v>214</v>
      </c>
      <c r="J629" s="628">
        <v>0</v>
      </c>
      <c r="K629" s="628">
        <v>231</v>
      </c>
      <c r="L629" s="628">
        <v>214</v>
      </c>
      <c r="M629" s="640">
        <v>481.5</v>
      </c>
    </row>
    <row r="630" spans="1:13" ht="15" customHeight="1">
      <c r="A630" s="641">
        <v>11320</v>
      </c>
      <c r="B630" s="629" t="s">
        <v>353</v>
      </c>
      <c r="C630" s="629" t="s">
        <v>355</v>
      </c>
      <c r="D630" s="629" t="s">
        <v>356</v>
      </c>
      <c r="E630" s="630">
        <v>2.8</v>
      </c>
      <c r="F630" s="630" t="s">
        <v>132</v>
      </c>
      <c r="G630" s="630">
        <v>128</v>
      </c>
      <c r="H630" s="630">
        <v>1</v>
      </c>
      <c r="I630" s="630">
        <v>26</v>
      </c>
      <c r="J630" s="630">
        <v>0</v>
      </c>
      <c r="K630" s="630">
        <v>155</v>
      </c>
      <c r="L630" s="630">
        <v>154</v>
      </c>
      <c r="M630" s="642">
        <v>431.2</v>
      </c>
    </row>
    <row r="631" spans="1:13" ht="15" customHeight="1">
      <c r="A631" s="639">
        <v>11320</v>
      </c>
      <c r="B631" s="627" t="s">
        <v>353</v>
      </c>
      <c r="C631" s="627" t="s">
        <v>355</v>
      </c>
      <c r="D631" s="627" t="s">
        <v>356</v>
      </c>
      <c r="E631" s="628">
        <v>2.8</v>
      </c>
      <c r="F631" s="628" t="s">
        <v>109</v>
      </c>
      <c r="G631" s="628">
        <v>0</v>
      </c>
      <c r="H631" s="628">
        <v>14</v>
      </c>
      <c r="I631" s="628">
        <v>206</v>
      </c>
      <c r="J631" s="628">
        <v>3</v>
      </c>
      <c r="K631" s="628">
        <v>223</v>
      </c>
      <c r="L631" s="628">
        <v>207.5</v>
      </c>
      <c r="M631" s="640">
        <v>581</v>
      </c>
    </row>
    <row r="632" spans="1:13" ht="15" customHeight="1">
      <c r="A632" s="641">
        <v>11320</v>
      </c>
      <c r="B632" s="629" t="s">
        <v>353</v>
      </c>
      <c r="C632" s="629" t="s">
        <v>82</v>
      </c>
      <c r="D632" s="629" t="s">
        <v>83</v>
      </c>
      <c r="E632" s="630">
        <v>1.65</v>
      </c>
      <c r="F632" s="630" t="s">
        <v>132</v>
      </c>
      <c r="G632" s="630">
        <v>133</v>
      </c>
      <c r="H632" s="630">
        <v>8</v>
      </c>
      <c r="I632" s="630">
        <v>25</v>
      </c>
      <c r="J632" s="630">
        <v>1</v>
      </c>
      <c r="K632" s="630">
        <v>167</v>
      </c>
      <c r="L632" s="630">
        <v>158.5</v>
      </c>
      <c r="M632" s="642">
        <v>261.53</v>
      </c>
    </row>
    <row r="633" spans="1:13" ht="15" customHeight="1">
      <c r="A633" s="639">
        <v>11320</v>
      </c>
      <c r="B633" s="627" t="s">
        <v>353</v>
      </c>
      <c r="C633" s="627" t="s">
        <v>82</v>
      </c>
      <c r="D633" s="627" t="s">
        <v>83</v>
      </c>
      <c r="E633" s="628">
        <v>1.65</v>
      </c>
      <c r="F633" s="628" t="s">
        <v>109</v>
      </c>
      <c r="G633" s="628">
        <v>0</v>
      </c>
      <c r="H633" s="628">
        <v>38</v>
      </c>
      <c r="I633" s="628">
        <v>237</v>
      </c>
      <c r="J633" s="628">
        <v>1</v>
      </c>
      <c r="K633" s="628">
        <v>276</v>
      </c>
      <c r="L633" s="628">
        <v>237.5</v>
      </c>
      <c r="M633" s="640">
        <v>391.88</v>
      </c>
    </row>
    <row r="634" spans="1:13" ht="15" customHeight="1">
      <c r="A634" s="641">
        <v>11320</v>
      </c>
      <c r="B634" s="629" t="s">
        <v>353</v>
      </c>
      <c r="C634" s="629" t="s">
        <v>84</v>
      </c>
      <c r="D634" s="629" t="s">
        <v>85</v>
      </c>
      <c r="E634" s="630">
        <v>2.25</v>
      </c>
      <c r="F634" s="630" t="s">
        <v>116</v>
      </c>
      <c r="G634" s="630">
        <v>0</v>
      </c>
      <c r="H634" s="630">
        <v>0</v>
      </c>
      <c r="I634" s="630">
        <v>65</v>
      </c>
      <c r="J634" s="630">
        <v>0</v>
      </c>
      <c r="K634" s="630">
        <v>65</v>
      </c>
      <c r="L634" s="630">
        <v>65</v>
      </c>
      <c r="M634" s="642">
        <v>146.25</v>
      </c>
    </row>
    <row r="635" spans="1:13" ht="15" customHeight="1">
      <c r="A635" s="639">
        <v>11320</v>
      </c>
      <c r="B635" s="627" t="s">
        <v>353</v>
      </c>
      <c r="C635" s="627" t="s">
        <v>84</v>
      </c>
      <c r="D635" s="627" t="s">
        <v>85</v>
      </c>
      <c r="E635" s="628">
        <v>2.25</v>
      </c>
      <c r="F635" s="628" t="s">
        <v>114</v>
      </c>
      <c r="G635" s="628">
        <v>0</v>
      </c>
      <c r="H635" s="628">
        <v>7</v>
      </c>
      <c r="I635" s="628">
        <v>85</v>
      </c>
      <c r="J635" s="628">
        <v>0</v>
      </c>
      <c r="K635" s="628">
        <v>92</v>
      </c>
      <c r="L635" s="628">
        <v>85</v>
      </c>
      <c r="M635" s="640">
        <v>191.25</v>
      </c>
    </row>
    <row r="636" spans="1:13" ht="15" customHeight="1">
      <c r="A636" s="641">
        <v>11320</v>
      </c>
      <c r="B636" s="629" t="s">
        <v>353</v>
      </c>
      <c r="C636" s="629" t="s">
        <v>357</v>
      </c>
      <c r="D636" s="629" t="s">
        <v>356</v>
      </c>
      <c r="E636" s="630">
        <v>2.8</v>
      </c>
      <c r="F636" s="630" t="s">
        <v>116</v>
      </c>
      <c r="G636" s="630">
        <v>0</v>
      </c>
      <c r="H636" s="630">
        <v>1</v>
      </c>
      <c r="I636" s="630">
        <v>57</v>
      </c>
      <c r="J636" s="630">
        <v>0</v>
      </c>
      <c r="K636" s="630">
        <v>58</v>
      </c>
      <c r="L636" s="630">
        <v>57</v>
      </c>
      <c r="M636" s="642">
        <v>159.6</v>
      </c>
    </row>
    <row r="637" spans="1:13" ht="15" customHeight="1">
      <c r="A637" s="639">
        <v>11320</v>
      </c>
      <c r="B637" s="627" t="s">
        <v>353</v>
      </c>
      <c r="C637" s="627" t="s">
        <v>357</v>
      </c>
      <c r="D637" s="627" t="s">
        <v>356</v>
      </c>
      <c r="E637" s="628">
        <v>2.8</v>
      </c>
      <c r="F637" s="628" t="s">
        <v>114</v>
      </c>
      <c r="G637" s="628">
        <v>0</v>
      </c>
      <c r="H637" s="628">
        <v>6</v>
      </c>
      <c r="I637" s="628">
        <v>62</v>
      </c>
      <c r="J637" s="628">
        <v>0</v>
      </c>
      <c r="K637" s="628">
        <v>68</v>
      </c>
      <c r="L637" s="628">
        <v>62</v>
      </c>
      <c r="M637" s="640">
        <v>173.6</v>
      </c>
    </row>
    <row r="638" spans="1:13" ht="15" customHeight="1">
      <c r="A638" s="641">
        <v>11320</v>
      </c>
      <c r="B638" s="629" t="s">
        <v>353</v>
      </c>
      <c r="C638" s="629" t="s">
        <v>86</v>
      </c>
      <c r="D638" s="629" t="s">
        <v>83</v>
      </c>
      <c r="E638" s="630">
        <v>1.65</v>
      </c>
      <c r="F638" s="630" t="s">
        <v>116</v>
      </c>
      <c r="G638" s="630">
        <v>0</v>
      </c>
      <c r="H638" s="630">
        <v>4</v>
      </c>
      <c r="I638" s="630">
        <v>94</v>
      </c>
      <c r="J638" s="630">
        <v>0</v>
      </c>
      <c r="K638" s="630">
        <v>98</v>
      </c>
      <c r="L638" s="630">
        <v>94</v>
      </c>
      <c r="M638" s="642">
        <v>155.1</v>
      </c>
    </row>
    <row r="639" spans="1:13" ht="15" customHeight="1">
      <c r="A639" s="639">
        <v>11320</v>
      </c>
      <c r="B639" s="627" t="s">
        <v>353</v>
      </c>
      <c r="C639" s="627" t="s">
        <v>86</v>
      </c>
      <c r="D639" s="627" t="s">
        <v>83</v>
      </c>
      <c r="E639" s="628">
        <v>1.65</v>
      </c>
      <c r="F639" s="628" t="s">
        <v>114</v>
      </c>
      <c r="G639" s="628">
        <v>0</v>
      </c>
      <c r="H639" s="628">
        <v>20</v>
      </c>
      <c r="I639" s="628">
        <v>95</v>
      </c>
      <c r="J639" s="628">
        <v>0</v>
      </c>
      <c r="K639" s="628">
        <v>115</v>
      </c>
      <c r="L639" s="628">
        <v>95</v>
      </c>
      <c r="M639" s="640">
        <v>156.75</v>
      </c>
    </row>
    <row r="640" spans="1:13" ht="15" customHeight="1">
      <c r="A640" s="641">
        <v>11320</v>
      </c>
      <c r="B640" s="629" t="s">
        <v>353</v>
      </c>
      <c r="C640" s="629" t="s">
        <v>358</v>
      </c>
      <c r="D640" s="629" t="s">
        <v>85</v>
      </c>
      <c r="E640" s="630">
        <v>2.25</v>
      </c>
      <c r="F640" s="630" t="s">
        <v>119</v>
      </c>
      <c r="G640" s="630">
        <v>0</v>
      </c>
      <c r="H640" s="630">
        <v>0</v>
      </c>
      <c r="I640" s="630">
        <v>16</v>
      </c>
      <c r="J640" s="630">
        <v>0</v>
      </c>
      <c r="K640" s="630">
        <v>16</v>
      </c>
      <c r="L640" s="630">
        <v>16</v>
      </c>
      <c r="M640" s="642">
        <v>36</v>
      </c>
    </row>
    <row r="641" spans="1:13" ht="15" customHeight="1">
      <c r="A641" s="639">
        <v>11320</v>
      </c>
      <c r="B641" s="627" t="s">
        <v>353</v>
      </c>
      <c r="C641" s="627" t="s">
        <v>358</v>
      </c>
      <c r="D641" s="627" t="s">
        <v>85</v>
      </c>
      <c r="E641" s="628">
        <v>2.25</v>
      </c>
      <c r="F641" s="628" t="s">
        <v>122</v>
      </c>
      <c r="G641" s="628">
        <v>0</v>
      </c>
      <c r="H641" s="628">
        <v>17</v>
      </c>
      <c r="I641" s="628">
        <v>38</v>
      </c>
      <c r="J641" s="628">
        <v>0</v>
      </c>
      <c r="K641" s="628">
        <v>55</v>
      </c>
      <c r="L641" s="628">
        <v>38</v>
      </c>
      <c r="M641" s="640">
        <v>85.5</v>
      </c>
    </row>
    <row r="642" spans="1:13" ht="15" customHeight="1">
      <c r="A642" s="641">
        <v>11320</v>
      </c>
      <c r="B642" s="629" t="s">
        <v>353</v>
      </c>
      <c r="C642" s="629" t="s">
        <v>359</v>
      </c>
      <c r="D642" s="629" t="s">
        <v>356</v>
      </c>
      <c r="E642" s="630">
        <v>2.8</v>
      </c>
      <c r="F642" s="630" t="s">
        <v>119</v>
      </c>
      <c r="G642" s="630">
        <v>0</v>
      </c>
      <c r="H642" s="630">
        <v>0</v>
      </c>
      <c r="I642" s="630">
        <v>46</v>
      </c>
      <c r="J642" s="630">
        <v>0</v>
      </c>
      <c r="K642" s="630">
        <v>46</v>
      </c>
      <c r="L642" s="630">
        <v>46</v>
      </c>
      <c r="M642" s="642">
        <v>128.8</v>
      </c>
    </row>
    <row r="643" spans="1:13" ht="15" customHeight="1">
      <c r="A643" s="639">
        <v>11320</v>
      </c>
      <c r="B643" s="627" t="s">
        <v>353</v>
      </c>
      <c r="C643" s="627" t="s">
        <v>359</v>
      </c>
      <c r="D643" s="627" t="s">
        <v>356</v>
      </c>
      <c r="E643" s="628">
        <v>2.8</v>
      </c>
      <c r="F643" s="628" t="s">
        <v>122</v>
      </c>
      <c r="G643" s="628">
        <v>0</v>
      </c>
      <c r="H643" s="628">
        <v>87</v>
      </c>
      <c r="I643" s="628">
        <v>174</v>
      </c>
      <c r="J643" s="628">
        <v>1</v>
      </c>
      <c r="K643" s="628">
        <v>262</v>
      </c>
      <c r="L643" s="628">
        <v>174.5</v>
      </c>
      <c r="M643" s="640">
        <v>488.6</v>
      </c>
    </row>
    <row r="644" spans="1:13" ht="15" customHeight="1">
      <c r="A644" s="641">
        <v>11320</v>
      </c>
      <c r="B644" s="629" t="s">
        <v>353</v>
      </c>
      <c r="C644" s="629" t="s">
        <v>360</v>
      </c>
      <c r="D644" s="629" t="s">
        <v>83</v>
      </c>
      <c r="E644" s="630">
        <v>1.65</v>
      </c>
      <c r="F644" s="630" t="s">
        <v>119</v>
      </c>
      <c r="G644" s="630">
        <v>0</v>
      </c>
      <c r="H644" s="630">
        <v>0</v>
      </c>
      <c r="I644" s="630">
        <v>10</v>
      </c>
      <c r="J644" s="630">
        <v>0</v>
      </c>
      <c r="K644" s="630">
        <v>10</v>
      </c>
      <c r="L644" s="630">
        <v>10</v>
      </c>
      <c r="M644" s="642">
        <v>16.5</v>
      </c>
    </row>
    <row r="645" spans="1:13" ht="15" customHeight="1">
      <c r="A645" s="639">
        <v>11320</v>
      </c>
      <c r="B645" s="627" t="s">
        <v>353</v>
      </c>
      <c r="C645" s="627" t="s">
        <v>360</v>
      </c>
      <c r="D645" s="627" t="s">
        <v>83</v>
      </c>
      <c r="E645" s="628">
        <v>1.65</v>
      </c>
      <c r="F645" s="628" t="s">
        <v>122</v>
      </c>
      <c r="G645" s="628">
        <v>0</v>
      </c>
      <c r="H645" s="628">
        <v>35</v>
      </c>
      <c r="I645" s="628">
        <v>66</v>
      </c>
      <c r="J645" s="628">
        <v>0</v>
      </c>
      <c r="K645" s="628">
        <v>101</v>
      </c>
      <c r="L645" s="628">
        <v>66</v>
      </c>
      <c r="M645" s="640">
        <v>108.9</v>
      </c>
    </row>
    <row r="646" spans="1:13" ht="15" customHeight="1">
      <c r="A646" s="643">
        <v>11320</v>
      </c>
      <c r="B646" s="631" t="s">
        <v>163</v>
      </c>
      <c r="C646" s="631"/>
      <c r="D646" s="631"/>
      <c r="E646" s="631"/>
      <c r="F646" s="632" t="s">
        <v>132</v>
      </c>
      <c r="G646" s="632">
        <v>470</v>
      </c>
      <c r="H646" s="632">
        <v>13</v>
      </c>
      <c r="I646" s="632">
        <v>92</v>
      </c>
      <c r="J646" s="632">
        <v>1</v>
      </c>
      <c r="K646" s="632">
        <v>576</v>
      </c>
      <c r="L646" s="632"/>
      <c r="M646" s="644"/>
    </row>
    <row r="647" spans="1:13" ht="15" customHeight="1">
      <c r="A647" s="643">
        <v>11320</v>
      </c>
      <c r="B647" s="631" t="s">
        <v>163</v>
      </c>
      <c r="C647" s="631"/>
      <c r="D647" s="631"/>
      <c r="E647" s="631"/>
      <c r="F647" s="632" t="s">
        <v>109</v>
      </c>
      <c r="G647" s="632">
        <v>0</v>
      </c>
      <c r="H647" s="632">
        <v>69</v>
      </c>
      <c r="I647" s="632">
        <v>657</v>
      </c>
      <c r="J647" s="632">
        <v>4</v>
      </c>
      <c r="K647" s="632">
        <v>730</v>
      </c>
      <c r="L647" s="632"/>
      <c r="M647" s="644"/>
    </row>
    <row r="648" spans="1:13" ht="15" customHeight="1">
      <c r="A648" s="643">
        <v>11320</v>
      </c>
      <c r="B648" s="631" t="s">
        <v>163</v>
      </c>
      <c r="C648" s="631"/>
      <c r="D648" s="631"/>
      <c r="E648" s="631"/>
      <c r="F648" s="632" t="s">
        <v>110</v>
      </c>
      <c r="G648" s="632">
        <v>0</v>
      </c>
      <c r="H648" s="632">
        <v>0</v>
      </c>
      <c r="I648" s="632">
        <v>0</v>
      </c>
      <c r="J648" s="632">
        <v>0</v>
      </c>
      <c r="K648" s="632">
        <v>0</v>
      </c>
      <c r="L648" s="632"/>
      <c r="M648" s="644"/>
    </row>
    <row r="649" spans="1:13" ht="15" customHeight="1">
      <c r="A649" s="643">
        <v>11320</v>
      </c>
      <c r="B649" s="631" t="s">
        <v>163</v>
      </c>
      <c r="C649" s="631"/>
      <c r="D649" s="631"/>
      <c r="E649" s="631"/>
      <c r="F649" s="632" t="s">
        <v>113</v>
      </c>
      <c r="G649" s="632">
        <v>0</v>
      </c>
      <c r="H649" s="632">
        <v>0</v>
      </c>
      <c r="I649" s="632">
        <v>0</v>
      </c>
      <c r="J649" s="632">
        <v>0</v>
      </c>
      <c r="K649" s="632">
        <v>0</v>
      </c>
      <c r="L649" s="632"/>
      <c r="M649" s="644"/>
    </row>
    <row r="650" spans="1:13" ht="15" customHeight="1">
      <c r="A650" s="643">
        <v>11320</v>
      </c>
      <c r="B650" s="631" t="s">
        <v>163</v>
      </c>
      <c r="C650" s="631"/>
      <c r="D650" s="631"/>
      <c r="E650" s="631"/>
      <c r="F650" s="632" t="s">
        <v>116</v>
      </c>
      <c r="G650" s="632">
        <v>0</v>
      </c>
      <c r="H650" s="632">
        <v>5</v>
      </c>
      <c r="I650" s="632">
        <v>216</v>
      </c>
      <c r="J650" s="632">
        <v>0</v>
      </c>
      <c r="K650" s="632">
        <v>221</v>
      </c>
      <c r="L650" s="632"/>
      <c r="M650" s="644"/>
    </row>
    <row r="651" spans="1:13" ht="15" customHeight="1">
      <c r="A651" s="643">
        <v>11320</v>
      </c>
      <c r="B651" s="631" t="s">
        <v>163</v>
      </c>
      <c r="C651" s="631"/>
      <c r="D651" s="631"/>
      <c r="E651" s="631"/>
      <c r="F651" s="632" t="s">
        <v>114</v>
      </c>
      <c r="G651" s="632">
        <v>0</v>
      </c>
      <c r="H651" s="632">
        <v>33</v>
      </c>
      <c r="I651" s="632">
        <v>242</v>
      </c>
      <c r="J651" s="632">
        <v>0</v>
      </c>
      <c r="K651" s="632">
        <v>275</v>
      </c>
      <c r="L651" s="632"/>
      <c r="M651" s="644"/>
    </row>
    <row r="652" spans="1:13" ht="15" customHeight="1">
      <c r="A652" s="643">
        <v>11320</v>
      </c>
      <c r="B652" s="631" t="s">
        <v>163</v>
      </c>
      <c r="C652" s="631"/>
      <c r="D652" s="631"/>
      <c r="E652" s="631"/>
      <c r="F652" s="632" t="s">
        <v>119</v>
      </c>
      <c r="G652" s="632">
        <v>0</v>
      </c>
      <c r="H652" s="632">
        <v>0</v>
      </c>
      <c r="I652" s="632">
        <v>72</v>
      </c>
      <c r="J652" s="632">
        <v>0</v>
      </c>
      <c r="K652" s="632">
        <v>72</v>
      </c>
      <c r="L652" s="632"/>
      <c r="M652" s="644"/>
    </row>
    <row r="653" spans="1:13" ht="15" customHeight="1">
      <c r="A653" s="643">
        <v>11320</v>
      </c>
      <c r="B653" s="631" t="s">
        <v>163</v>
      </c>
      <c r="C653" s="631"/>
      <c r="D653" s="631"/>
      <c r="E653" s="631"/>
      <c r="F653" s="632" t="s">
        <v>122</v>
      </c>
      <c r="G653" s="632">
        <v>0</v>
      </c>
      <c r="H653" s="632">
        <v>139</v>
      </c>
      <c r="I653" s="632">
        <v>278</v>
      </c>
      <c r="J653" s="632">
        <v>1</v>
      </c>
      <c r="K653" s="632">
        <v>418</v>
      </c>
      <c r="L653" s="632"/>
      <c r="M653" s="644"/>
    </row>
    <row r="654" spans="1:13" ht="15" customHeight="1">
      <c r="A654" s="641">
        <v>11410</v>
      </c>
      <c r="B654" s="629" t="s">
        <v>108</v>
      </c>
      <c r="C654" s="629" t="s">
        <v>361</v>
      </c>
      <c r="D654" s="629" t="s">
        <v>362</v>
      </c>
      <c r="E654" s="630">
        <v>1.2</v>
      </c>
      <c r="F654" s="630" t="s">
        <v>132</v>
      </c>
      <c r="G654" s="630">
        <v>17</v>
      </c>
      <c r="H654" s="630">
        <v>2</v>
      </c>
      <c r="I654" s="630">
        <v>8</v>
      </c>
      <c r="J654" s="630">
        <v>0</v>
      </c>
      <c r="K654" s="630">
        <v>27</v>
      </c>
      <c r="L654" s="630">
        <v>25</v>
      </c>
      <c r="M654" s="642">
        <v>30</v>
      </c>
    </row>
    <row r="655" spans="1:13" ht="15" customHeight="1">
      <c r="A655" s="639">
        <v>11410</v>
      </c>
      <c r="B655" s="627" t="s">
        <v>108</v>
      </c>
      <c r="C655" s="627" t="s">
        <v>361</v>
      </c>
      <c r="D655" s="627" t="s">
        <v>362</v>
      </c>
      <c r="E655" s="628">
        <v>1.2</v>
      </c>
      <c r="F655" s="628" t="s">
        <v>109</v>
      </c>
      <c r="G655" s="628">
        <v>0</v>
      </c>
      <c r="H655" s="628">
        <v>23</v>
      </c>
      <c r="I655" s="628">
        <v>55</v>
      </c>
      <c r="J655" s="628">
        <v>6</v>
      </c>
      <c r="K655" s="628">
        <v>84</v>
      </c>
      <c r="L655" s="628">
        <v>58</v>
      </c>
      <c r="M655" s="640">
        <v>69.6</v>
      </c>
    </row>
    <row r="656" spans="1:13" ht="15" customHeight="1">
      <c r="A656" s="641">
        <v>11410</v>
      </c>
      <c r="B656" s="629" t="s">
        <v>108</v>
      </c>
      <c r="C656" s="629" t="s">
        <v>363</v>
      </c>
      <c r="D656" s="629" t="s">
        <v>364</v>
      </c>
      <c r="E656" s="630">
        <v>1.2</v>
      </c>
      <c r="F656" s="630" t="s">
        <v>132</v>
      </c>
      <c r="G656" s="630">
        <v>41</v>
      </c>
      <c r="H656" s="630">
        <v>2</v>
      </c>
      <c r="I656" s="630">
        <v>35</v>
      </c>
      <c r="J656" s="630">
        <v>1</v>
      </c>
      <c r="K656" s="630">
        <v>79</v>
      </c>
      <c r="L656" s="630">
        <v>76.5</v>
      </c>
      <c r="M656" s="642">
        <v>91.8</v>
      </c>
    </row>
    <row r="657" spans="1:13" ht="15" customHeight="1">
      <c r="A657" s="639">
        <v>11410</v>
      </c>
      <c r="B657" s="627" t="s">
        <v>108</v>
      </c>
      <c r="C657" s="627" t="s">
        <v>363</v>
      </c>
      <c r="D657" s="627" t="s">
        <v>364</v>
      </c>
      <c r="E657" s="628">
        <v>1.2</v>
      </c>
      <c r="F657" s="628" t="s">
        <v>109</v>
      </c>
      <c r="G657" s="628">
        <v>0</v>
      </c>
      <c r="H657" s="628">
        <v>31</v>
      </c>
      <c r="I657" s="628">
        <v>142</v>
      </c>
      <c r="J657" s="628">
        <v>5</v>
      </c>
      <c r="K657" s="628">
        <v>178</v>
      </c>
      <c r="L657" s="628">
        <v>144.5</v>
      </c>
      <c r="M657" s="640">
        <v>173.4</v>
      </c>
    </row>
    <row r="658" spans="1:13" ht="15" customHeight="1">
      <c r="A658" s="641">
        <v>11410</v>
      </c>
      <c r="B658" s="629" t="s">
        <v>108</v>
      </c>
      <c r="C658" s="629" t="s">
        <v>88</v>
      </c>
      <c r="D658" s="629" t="s">
        <v>89</v>
      </c>
      <c r="E658" s="630">
        <v>1.2</v>
      </c>
      <c r="F658" s="630" t="s">
        <v>132</v>
      </c>
      <c r="G658" s="630">
        <v>455</v>
      </c>
      <c r="H658" s="630">
        <v>50</v>
      </c>
      <c r="I658" s="630">
        <v>334</v>
      </c>
      <c r="J658" s="630">
        <v>7</v>
      </c>
      <c r="K658" s="630">
        <v>846</v>
      </c>
      <c r="L658" s="630">
        <v>792.5</v>
      </c>
      <c r="M658" s="642">
        <v>951</v>
      </c>
    </row>
    <row r="659" spans="1:13" ht="15" customHeight="1">
      <c r="A659" s="639">
        <v>11410</v>
      </c>
      <c r="B659" s="627" t="s">
        <v>108</v>
      </c>
      <c r="C659" s="627" t="s">
        <v>88</v>
      </c>
      <c r="D659" s="627" t="s">
        <v>89</v>
      </c>
      <c r="E659" s="628">
        <v>1.2</v>
      </c>
      <c r="F659" s="628" t="s">
        <v>109</v>
      </c>
      <c r="G659" s="628">
        <v>0</v>
      </c>
      <c r="H659" s="628">
        <v>348</v>
      </c>
      <c r="I659" s="628">
        <v>1224</v>
      </c>
      <c r="J659" s="628">
        <v>41</v>
      </c>
      <c r="K659" s="628">
        <v>1613</v>
      </c>
      <c r="L659" s="628">
        <v>1244.5</v>
      </c>
      <c r="M659" s="640">
        <v>1493.4</v>
      </c>
    </row>
    <row r="660" spans="1:13" ht="15" customHeight="1">
      <c r="A660" s="641">
        <v>11410</v>
      </c>
      <c r="B660" s="629" t="s">
        <v>108</v>
      </c>
      <c r="C660" s="629" t="s">
        <v>242</v>
      </c>
      <c r="D660" s="629" t="s">
        <v>20</v>
      </c>
      <c r="E660" s="630">
        <v>1</v>
      </c>
      <c r="F660" s="630" t="s">
        <v>132</v>
      </c>
      <c r="G660" s="630">
        <v>16</v>
      </c>
      <c r="H660" s="630">
        <v>0</v>
      </c>
      <c r="I660" s="630">
        <v>30</v>
      </c>
      <c r="J660" s="630">
        <v>0</v>
      </c>
      <c r="K660" s="630">
        <v>46</v>
      </c>
      <c r="L660" s="630">
        <v>46</v>
      </c>
      <c r="M660" s="642">
        <v>46</v>
      </c>
    </row>
    <row r="661" spans="1:13" ht="15" customHeight="1">
      <c r="A661" s="639">
        <v>11410</v>
      </c>
      <c r="B661" s="627" t="s">
        <v>108</v>
      </c>
      <c r="C661" s="627" t="s">
        <v>242</v>
      </c>
      <c r="D661" s="627" t="s">
        <v>20</v>
      </c>
      <c r="E661" s="628">
        <v>1</v>
      </c>
      <c r="F661" s="628" t="s">
        <v>109</v>
      </c>
      <c r="G661" s="628">
        <v>0</v>
      </c>
      <c r="H661" s="628">
        <v>13</v>
      </c>
      <c r="I661" s="628">
        <v>74</v>
      </c>
      <c r="J661" s="628">
        <v>3</v>
      </c>
      <c r="K661" s="628">
        <v>90</v>
      </c>
      <c r="L661" s="628">
        <v>75.5</v>
      </c>
      <c r="M661" s="640">
        <v>75.5</v>
      </c>
    </row>
    <row r="662" spans="1:13" ht="15" customHeight="1">
      <c r="A662" s="641">
        <v>11410</v>
      </c>
      <c r="B662" s="629" t="s">
        <v>108</v>
      </c>
      <c r="C662" s="629" t="s">
        <v>111</v>
      </c>
      <c r="D662" s="629" t="s">
        <v>112</v>
      </c>
      <c r="E662" s="630">
        <v>1.2</v>
      </c>
      <c r="F662" s="630" t="s">
        <v>110</v>
      </c>
      <c r="G662" s="630">
        <v>81</v>
      </c>
      <c r="H662" s="630">
        <v>5</v>
      </c>
      <c r="I662" s="630">
        <v>49</v>
      </c>
      <c r="J662" s="630">
        <v>0</v>
      </c>
      <c r="K662" s="630">
        <v>135</v>
      </c>
      <c r="L662" s="630">
        <v>130</v>
      </c>
      <c r="M662" s="642">
        <v>156</v>
      </c>
    </row>
    <row r="663" spans="1:13" ht="15" customHeight="1">
      <c r="A663" s="639">
        <v>11410</v>
      </c>
      <c r="B663" s="627" t="s">
        <v>108</v>
      </c>
      <c r="C663" s="627" t="s">
        <v>111</v>
      </c>
      <c r="D663" s="627" t="s">
        <v>112</v>
      </c>
      <c r="E663" s="628">
        <v>1.2</v>
      </c>
      <c r="F663" s="628" t="s">
        <v>113</v>
      </c>
      <c r="G663" s="628">
        <v>0</v>
      </c>
      <c r="H663" s="628">
        <v>67</v>
      </c>
      <c r="I663" s="628">
        <v>480</v>
      </c>
      <c r="J663" s="628">
        <v>5</v>
      </c>
      <c r="K663" s="628">
        <v>552</v>
      </c>
      <c r="L663" s="628">
        <v>482.5</v>
      </c>
      <c r="M663" s="640">
        <v>579</v>
      </c>
    </row>
    <row r="664" spans="1:13" ht="15" customHeight="1">
      <c r="A664" s="641">
        <v>11410</v>
      </c>
      <c r="B664" s="629" t="s">
        <v>108</v>
      </c>
      <c r="C664" s="629" t="s">
        <v>281</v>
      </c>
      <c r="D664" s="629" t="s">
        <v>91</v>
      </c>
      <c r="E664" s="630">
        <v>1.2</v>
      </c>
      <c r="F664" s="630" t="s">
        <v>113</v>
      </c>
      <c r="G664" s="630">
        <v>0</v>
      </c>
      <c r="H664" s="630">
        <v>0</v>
      </c>
      <c r="I664" s="630">
        <v>1</v>
      </c>
      <c r="J664" s="630">
        <v>0</v>
      </c>
      <c r="K664" s="630">
        <v>1</v>
      </c>
      <c r="L664" s="630">
        <v>1</v>
      </c>
      <c r="M664" s="642">
        <v>1.2</v>
      </c>
    </row>
    <row r="665" spans="1:13" ht="15" customHeight="1">
      <c r="A665" s="639">
        <v>11410</v>
      </c>
      <c r="B665" s="627" t="s">
        <v>108</v>
      </c>
      <c r="C665" s="627" t="s">
        <v>115</v>
      </c>
      <c r="D665" s="627" t="s">
        <v>93</v>
      </c>
      <c r="E665" s="628">
        <v>1</v>
      </c>
      <c r="F665" s="628" t="s">
        <v>116</v>
      </c>
      <c r="G665" s="628">
        <v>0</v>
      </c>
      <c r="H665" s="628">
        <v>0</v>
      </c>
      <c r="I665" s="628">
        <v>32</v>
      </c>
      <c r="J665" s="628">
        <v>0</v>
      </c>
      <c r="K665" s="628">
        <v>32</v>
      </c>
      <c r="L665" s="628">
        <v>32</v>
      </c>
      <c r="M665" s="640">
        <v>32</v>
      </c>
    </row>
    <row r="666" spans="1:13" ht="15" customHeight="1">
      <c r="A666" s="641">
        <v>11410</v>
      </c>
      <c r="B666" s="629" t="s">
        <v>108</v>
      </c>
      <c r="C666" s="629" t="s">
        <v>115</v>
      </c>
      <c r="D666" s="629" t="s">
        <v>93</v>
      </c>
      <c r="E666" s="630">
        <v>1</v>
      </c>
      <c r="F666" s="630" t="s">
        <v>114</v>
      </c>
      <c r="G666" s="630">
        <v>0</v>
      </c>
      <c r="H666" s="630">
        <v>5</v>
      </c>
      <c r="I666" s="630">
        <v>38</v>
      </c>
      <c r="J666" s="630">
        <v>1</v>
      </c>
      <c r="K666" s="630">
        <v>44</v>
      </c>
      <c r="L666" s="630">
        <v>38.5</v>
      </c>
      <c r="M666" s="642">
        <v>38.5</v>
      </c>
    </row>
    <row r="667" spans="1:13" ht="15" customHeight="1">
      <c r="A667" s="639">
        <v>11410</v>
      </c>
      <c r="B667" s="627" t="s">
        <v>108</v>
      </c>
      <c r="C667" s="627" t="s">
        <v>90</v>
      </c>
      <c r="D667" s="627" t="s">
        <v>91</v>
      </c>
      <c r="E667" s="628">
        <v>1.2</v>
      </c>
      <c r="F667" s="628" t="s">
        <v>116</v>
      </c>
      <c r="G667" s="628">
        <v>0</v>
      </c>
      <c r="H667" s="628">
        <v>13</v>
      </c>
      <c r="I667" s="628">
        <v>275</v>
      </c>
      <c r="J667" s="628">
        <v>2</v>
      </c>
      <c r="K667" s="628">
        <v>290</v>
      </c>
      <c r="L667" s="628">
        <v>276</v>
      </c>
      <c r="M667" s="640">
        <v>331.2</v>
      </c>
    </row>
    <row r="668" spans="1:13" ht="15" customHeight="1">
      <c r="A668" s="641">
        <v>11410</v>
      </c>
      <c r="B668" s="629" t="s">
        <v>108</v>
      </c>
      <c r="C668" s="629" t="s">
        <v>90</v>
      </c>
      <c r="D668" s="629" t="s">
        <v>91</v>
      </c>
      <c r="E668" s="630">
        <v>1.2</v>
      </c>
      <c r="F668" s="630" t="s">
        <v>114</v>
      </c>
      <c r="G668" s="630">
        <v>0</v>
      </c>
      <c r="H668" s="630">
        <v>117</v>
      </c>
      <c r="I668" s="630">
        <v>456</v>
      </c>
      <c r="J668" s="630">
        <v>6</v>
      </c>
      <c r="K668" s="630">
        <v>579</v>
      </c>
      <c r="L668" s="630">
        <v>459</v>
      </c>
      <c r="M668" s="642">
        <v>550.8</v>
      </c>
    </row>
    <row r="669" spans="1:13" ht="15" customHeight="1">
      <c r="A669" s="639">
        <v>11410</v>
      </c>
      <c r="B669" s="627" t="s">
        <v>108</v>
      </c>
      <c r="C669" s="627" t="s">
        <v>365</v>
      </c>
      <c r="D669" s="627" t="s">
        <v>364</v>
      </c>
      <c r="E669" s="628">
        <v>1.2</v>
      </c>
      <c r="F669" s="628" t="s">
        <v>116</v>
      </c>
      <c r="G669" s="628">
        <v>0</v>
      </c>
      <c r="H669" s="628">
        <v>1</v>
      </c>
      <c r="I669" s="628">
        <v>71</v>
      </c>
      <c r="J669" s="628">
        <v>1</v>
      </c>
      <c r="K669" s="628">
        <v>73</v>
      </c>
      <c r="L669" s="628">
        <v>71.5</v>
      </c>
      <c r="M669" s="640">
        <v>85.8</v>
      </c>
    </row>
    <row r="670" spans="1:13" ht="15" customHeight="1">
      <c r="A670" s="641">
        <v>11410</v>
      </c>
      <c r="B670" s="629" t="s">
        <v>108</v>
      </c>
      <c r="C670" s="629" t="s">
        <v>365</v>
      </c>
      <c r="D670" s="629" t="s">
        <v>364</v>
      </c>
      <c r="E670" s="630">
        <v>1.2</v>
      </c>
      <c r="F670" s="630" t="s">
        <v>114</v>
      </c>
      <c r="G670" s="630">
        <v>0</v>
      </c>
      <c r="H670" s="630">
        <v>8</v>
      </c>
      <c r="I670" s="630">
        <v>82</v>
      </c>
      <c r="J670" s="630">
        <v>7</v>
      </c>
      <c r="K670" s="630">
        <v>97</v>
      </c>
      <c r="L670" s="630">
        <v>85.5</v>
      </c>
      <c r="M670" s="642">
        <v>102.6</v>
      </c>
    </row>
    <row r="671" spans="1:13" ht="15" customHeight="1">
      <c r="A671" s="639">
        <v>11410</v>
      </c>
      <c r="B671" s="627" t="s">
        <v>108</v>
      </c>
      <c r="C671" s="627" t="s">
        <v>366</v>
      </c>
      <c r="D671" s="627" t="s">
        <v>89</v>
      </c>
      <c r="E671" s="628">
        <v>1.2</v>
      </c>
      <c r="F671" s="628" t="s">
        <v>116</v>
      </c>
      <c r="G671" s="628">
        <v>0</v>
      </c>
      <c r="H671" s="628">
        <v>2</v>
      </c>
      <c r="I671" s="628">
        <v>50</v>
      </c>
      <c r="J671" s="628">
        <v>0</v>
      </c>
      <c r="K671" s="628">
        <v>52</v>
      </c>
      <c r="L671" s="628">
        <v>50</v>
      </c>
      <c r="M671" s="640">
        <v>60</v>
      </c>
    </row>
    <row r="672" spans="1:13" ht="15" customHeight="1">
      <c r="A672" s="641">
        <v>11410</v>
      </c>
      <c r="B672" s="629" t="s">
        <v>108</v>
      </c>
      <c r="C672" s="629" t="s">
        <v>366</v>
      </c>
      <c r="D672" s="629" t="s">
        <v>89</v>
      </c>
      <c r="E672" s="630">
        <v>1.2</v>
      </c>
      <c r="F672" s="630" t="s">
        <v>114</v>
      </c>
      <c r="G672" s="630">
        <v>0</v>
      </c>
      <c r="H672" s="630">
        <v>7</v>
      </c>
      <c r="I672" s="630">
        <v>27</v>
      </c>
      <c r="J672" s="630">
        <v>2</v>
      </c>
      <c r="K672" s="630">
        <v>36</v>
      </c>
      <c r="L672" s="630">
        <v>28</v>
      </c>
      <c r="M672" s="642">
        <v>33.6</v>
      </c>
    </row>
    <row r="673" spans="1:13" ht="15" customHeight="1">
      <c r="A673" s="639">
        <v>11410</v>
      </c>
      <c r="B673" s="627" t="s">
        <v>108</v>
      </c>
      <c r="C673" s="627" t="s">
        <v>252</v>
      </c>
      <c r="D673" s="627" t="s">
        <v>20</v>
      </c>
      <c r="E673" s="628">
        <v>1</v>
      </c>
      <c r="F673" s="628" t="s">
        <v>116</v>
      </c>
      <c r="G673" s="628">
        <v>0</v>
      </c>
      <c r="H673" s="628">
        <v>0</v>
      </c>
      <c r="I673" s="628">
        <v>30</v>
      </c>
      <c r="J673" s="628">
        <v>0</v>
      </c>
      <c r="K673" s="628">
        <v>30</v>
      </c>
      <c r="L673" s="628">
        <v>30</v>
      </c>
      <c r="M673" s="640">
        <v>30</v>
      </c>
    </row>
    <row r="674" spans="1:13" ht="15" customHeight="1">
      <c r="A674" s="641">
        <v>11410</v>
      </c>
      <c r="B674" s="629" t="s">
        <v>108</v>
      </c>
      <c r="C674" s="629" t="s">
        <v>252</v>
      </c>
      <c r="D674" s="629" t="s">
        <v>20</v>
      </c>
      <c r="E674" s="630">
        <v>1</v>
      </c>
      <c r="F674" s="630" t="s">
        <v>114</v>
      </c>
      <c r="G674" s="630">
        <v>0</v>
      </c>
      <c r="H674" s="630">
        <v>2</v>
      </c>
      <c r="I674" s="630">
        <v>42</v>
      </c>
      <c r="J674" s="630">
        <v>2</v>
      </c>
      <c r="K674" s="630">
        <v>46</v>
      </c>
      <c r="L674" s="630">
        <v>43</v>
      </c>
      <c r="M674" s="642">
        <v>43</v>
      </c>
    </row>
    <row r="675" spans="1:13" ht="15" customHeight="1">
      <c r="A675" s="639">
        <v>11410</v>
      </c>
      <c r="B675" s="627" t="s">
        <v>108</v>
      </c>
      <c r="C675" s="627" t="s">
        <v>66</v>
      </c>
      <c r="D675" s="627" t="s">
        <v>62</v>
      </c>
      <c r="E675" s="628">
        <v>1</v>
      </c>
      <c r="F675" s="628" t="s">
        <v>119</v>
      </c>
      <c r="G675" s="628">
        <v>0</v>
      </c>
      <c r="H675" s="628">
        <v>0</v>
      </c>
      <c r="I675" s="628">
        <v>7</v>
      </c>
      <c r="J675" s="628">
        <v>0</v>
      </c>
      <c r="K675" s="628">
        <v>7</v>
      </c>
      <c r="L675" s="628">
        <v>7</v>
      </c>
      <c r="M675" s="640">
        <v>7</v>
      </c>
    </row>
    <row r="676" spans="1:13" ht="15" customHeight="1">
      <c r="A676" s="641">
        <v>11410</v>
      </c>
      <c r="B676" s="629" t="s">
        <v>108</v>
      </c>
      <c r="C676" s="629" t="s">
        <v>66</v>
      </c>
      <c r="D676" s="629" t="s">
        <v>62</v>
      </c>
      <c r="E676" s="630">
        <v>1</v>
      </c>
      <c r="F676" s="630" t="s">
        <v>122</v>
      </c>
      <c r="G676" s="630">
        <v>0</v>
      </c>
      <c r="H676" s="630">
        <v>3</v>
      </c>
      <c r="I676" s="630">
        <v>24</v>
      </c>
      <c r="J676" s="630">
        <v>1</v>
      </c>
      <c r="K676" s="630">
        <v>28</v>
      </c>
      <c r="L676" s="630">
        <v>24.5</v>
      </c>
      <c r="M676" s="642">
        <v>24.5</v>
      </c>
    </row>
    <row r="677" spans="1:13" ht="15" customHeight="1">
      <c r="A677" s="639">
        <v>11410</v>
      </c>
      <c r="B677" s="627" t="s">
        <v>108</v>
      </c>
      <c r="C677" s="627" t="s">
        <v>255</v>
      </c>
      <c r="D677" s="627" t="s">
        <v>39</v>
      </c>
      <c r="E677" s="628">
        <v>1</v>
      </c>
      <c r="F677" s="628" t="s">
        <v>119</v>
      </c>
      <c r="G677" s="628">
        <v>0</v>
      </c>
      <c r="H677" s="628">
        <v>1</v>
      </c>
      <c r="I677" s="628">
        <v>2</v>
      </c>
      <c r="J677" s="628">
        <v>0</v>
      </c>
      <c r="K677" s="628">
        <v>3</v>
      </c>
      <c r="L677" s="628">
        <v>2</v>
      </c>
      <c r="M677" s="640">
        <v>2</v>
      </c>
    </row>
    <row r="678" spans="1:13" ht="15" customHeight="1">
      <c r="A678" s="641">
        <v>11410</v>
      </c>
      <c r="B678" s="629" t="s">
        <v>108</v>
      </c>
      <c r="C678" s="629" t="s">
        <v>255</v>
      </c>
      <c r="D678" s="629" t="s">
        <v>39</v>
      </c>
      <c r="E678" s="630">
        <v>1</v>
      </c>
      <c r="F678" s="630" t="s">
        <v>122</v>
      </c>
      <c r="G678" s="630">
        <v>0</v>
      </c>
      <c r="H678" s="630">
        <v>11</v>
      </c>
      <c r="I678" s="630">
        <v>10</v>
      </c>
      <c r="J678" s="630">
        <v>0</v>
      </c>
      <c r="K678" s="630">
        <v>21</v>
      </c>
      <c r="L678" s="630">
        <v>10</v>
      </c>
      <c r="M678" s="642">
        <v>10</v>
      </c>
    </row>
    <row r="679" spans="1:13" ht="15" customHeight="1">
      <c r="A679" s="639">
        <v>11410</v>
      </c>
      <c r="B679" s="627" t="s">
        <v>108</v>
      </c>
      <c r="C679" s="627" t="s">
        <v>92</v>
      </c>
      <c r="D679" s="627" t="s">
        <v>93</v>
      </c>
      <c r="E679" s="628">
        <v>1</v>
      </c>
      <c r="F679" s="628" t="s">
        <v>119</v>
      </c>
      <c r="G679" s="628">
        <v>0</v>
      </c>
      <c r="H679" s="628">
        <v>0</v>
      </c>
      <c r="I679" s="628">
        <v>34</v>
      </c>
      <c r="J679" s="628">
        <v>0</v>
      </c>
      <c r="K679" s="628">
        <v>34</v>
      </c>
      <c r="L679" s="628">
        <v>34</v>
      </c>
      <c r="M679" s="640">
        <v>34</v>
      </c>
    </row>
    <row r="680" spans="1:13" ht="15" customHeight="1">
      <c r="A680" s="641">
        <v>11410</v>
      </c>
      <c r="B680" s="629" t="s">
        <v>108</v>
      </c>
      <c r="C680" s="629" t="s">
        <v>92</v>
      </c>
      <c r="D680" s="629" t="s">
        <v>93</v>
      </c>
      <c r="E680" s="630">
        <v>1</v>
      </c>
      <c r="F680" s="630" t="s">
        <v>122</v>
      </c>
      <c r="G680" s="630">
        <v>0</v>
      </c>
      <c r="H680" s="630">
        <v>27</v>
      </c>
      <c r="I680" s="630">
        <v>76</v>
      </c>
      <c r="J680" s="630">
        <v>1</v>
      </c>
      <c r="K680" s="630">
        <v>104</v>
      </c>
      <c r="L680" s="630">
        <v>76.5</v>
      </c>
      <c r="M680" s="642">
        <v>76.5</v>
      </c>
    </row>
    <row r="681" spans="1:13" ht="15" customHeight="1">
      <c r="A681" s="639">
        <v>11410</v>
      </c>
      <c r="B681" s="627" t="s">
        <v>108</v>
      </c>
      <c r="C681" s="627" t="s">
        <v>367</v>
      </c>
      <c r="D681" s="627" t="s">
        <v>89</v>
      </c>
      <c r="E681" s="628">
        <v>1.2</v>
      </c>
      <c r="F681" s="628" t="s">
        <v>119</v>
      </c>
      <c r="G681" s="628">
        <v>0</v>
      </c>
      <c r="H681" s="628">
        <v>0</v>
      </c>
      <c r="I681" s="628">
        <v>8</v>
      </c>
      <c r="J681" s="628">
        <v>0</v>
      </c>
      <c r="K681" s="628">
        <v>8</v>
      </c>
      <c r="L681" s="628">
        <v>8</v>
      </c>
      <c r="M681" s="640">
        <v>9.6</v>
      </c>
    </row>
    <row r="682" spans="1:13" ht="15" customHeight="1">
      <c r="A682" s="641">
        <v>11410</v>
      </c>
      <c r="B682" s="629" t="s">
        <v>108</v>
      </c>
      <c r="C682" s="629" t="s">
        <v>367</v>
      </c>
      <c r="D682" s="629" t="s">
        <v>89</v>
      </c>
      <c r="E682" s="630">
        <v>1.2</v>
      </c>
      <c r="F682" s="630" t="s">
        <v>122</v>
      </c>
      <c r="G682" s="630">
        <v>0</v>
      </c>
      <c r="H682" s="630">
        <v>2</v>
      </c>
      <c r="I682" s="630">
        <v>15</v>
      </c>
      <c r="J682" s="630">
        <v>0</v>
      </c>
      <c r="K682" s="630">
        <v>17</v>
      </c>
      <c r="L682" s="630">
        <v>15</v>
      </c>
      <c r="M682" s="642">
        <v>18</v>
      </c>
    </row>
    <row r="683" spans="1:13" ht="15" customHeight="1">
      <c r="A683" s="639">
        <v>11410</v>
      </c>
      <c r="B683" s="627" t="s">
        <v>108</v>
      </c>
      <c r="C683" s="627" t="s">
        <v>19</v>
      </c>
      <c r="D683" s="627" t="s">
        <v>20</v>
      </c>
      <c r="E683" s="628">
        <v>1</v>
      </c>
      <c r="F683" s="628" t="s">
        <v>119</v>
      </c>
      <c r="G683" s="628">
        <v>0</v>
      </c>
      <c r="H683" s="628">
        <v>0</v>
      </c>
      <c r="I683" s="628">
        <v>11</v>
      </c>
      <c r="J683" s="628">
        <v>0</v>
      </c>
      <c r="K683" s="628">
        <v>11</v>
      </c>
      <c r="L683" s="628">
        <v>11</v>
      </c>
      <c r="M683" s="640">
        <v>11</v>
      </c>
    </row>
    <row r="684" spans="1:13" ht="15" customHeight="1">
      <c r="A684" s="641">
        <v>11410</v>
      </c>
      <c r="B684" s="629" t="s">
        <v>108</v>
      </c>
      <c r="C684" s="629" t="s">
        <v>19</v>
      </c>
      <c r="D684" s="629" t="s">
        <v>20</v>
      </c>
      <c r="E684" s="630">
        <v>1</v>
      </c>
      <c r="F684" s="630" t="s">
        <v>122</v>
      </c>
      <c r="G684" s="630">
        <v>0</v>
      </c>
      <c r="H684" s="630">
        <v>4</v>
      </c>
      <c r="I684" s="630">
        <v>13</v>
      </c>
      <c r="J684" s="630">
        <v>2</v>
      </c>
      <c r="K684" s="630">
        <v>19</v>
      </c>
      <c r="L684" s="630">
        <v>14</v>
      </c>
      <c r="M684" s="642">
        <v>14</v>
      </c>
    </row>
    <row r="685" spans="1:13" ht="15" customHeight="1">
      <c r="A685" s="643">
        <v>11410</v>
      </c>
      <c r="B685" s="631" t="s">
        <v>163</v>
      </c>
      <c r="C685" s="631"/>
      <c r="D685" s="631"/>
      <c r="E685" s="631"/>
      <c r="F685" s="632" t="s">
        <v>132</v>
      </c>
      <c r="G685" s="632">
        <v>529</v>
      </c>
      <c r="H685" s="632">
        <v>54</v>
      </c>
      <c r="I685" s="632">
        <v>407</v>
      </c>
      <c r="J685" s="632">
        <v>8</v>
      </c>
      <c r="K685" s="632">
        <v>998</v>
      </c>
      <c r="L685" s="632"/>
      <c r="M685" s="644"/>
    </row>
    <row r="686" spans="1:13" ht="15" customHeight="1">
      <c r="A686" s="643">
        <v>11410</v>
      </c>
      <c r="B686" s="631" t="s">
        <v>163</v>
      </c>
      <c r="C686" s="631"/>
      <c r="D686" s="631"/>
      <c r="E686" s="631"/>
      <c r="F686" s="632" t="s">
        <v>109</v>
      </c>
      <c r="G686" s="632">
        <v>0</v>
      </c>
      <c r="H686" s="632">
        <v>415</v>
      </c>
      <c r="I686" s="632">
        <v>1495</v>
      </c>
      <c r="J686" s="632">
        <v>55</v>
      </c>
      <c r="K686" s="632">
        <v>1965</v>
      </c>
      <c r="L686" s="632"/>
      <c r="M686" s="644"/>
    </row>
    <row r="687" spans="1:13" ht="15" customHeight="1">
      <c r="A687" s="643">
        <v>11410</v>
      </c>
      <c r="B687" s="631" t="s">
        <v>163</v>
      </c>
      <c r="C687" s="631"/>
      <c r="D687" s="631"/>
      <c r="E687" s="631"/>
      <c r="F687" s="632" t="s">
        <v>110</v>
      </c>
      <c r="G687" s="632">
        <v>81</v>
      </c>
      <c r="H687" s="632">
        <v>5</v>
      </c>
      <c r="I687" s="632">
        <v>49</v>
      </c>
      <c r="J687" s="632">
        <v>0</v>
      </c>
      <c r="K687" s="632">
        <v>135</v>
      </c>
      <c r="L687" s="632"/>
      <c r="M687" s="644"/>
    </row>
    <row r="688" spans="1:13" ht="15" customHeight="1">
      <c r="A688" s="643">
        <v>11410</v>
      </c>
      <c r="B688" s="631" t="s">
        <v>163</v>
      </c>
      <c r="C688" s="631"/>
      <c r="D688" s="631"/>
      <c r="E688" s="631"/>
      <c r="F688" s="632" t="s">
        <v>113</v>
      </c>
      <c r="G688" s="632">
        <v>0</v>
      </c>
      <c r="H688" s="632">
        <v>67</v>
      </c>
      <c r="I688" s="632">
        <v>481</v>
      </c>
      <c r="J688" s="632">
        <v>5</v>
      </c>
      <c r="K688" s="632">
        <v>553</v>
      </c>
      <c r="L688" s="632"/>
      <c r="M688" s="644"/>
    </row>
    <row r="689" spans="1:13" ht="15" customHeight="1">
      <c r="A689" s="643">
        <v>11410</v>
      </c>
      <c r="B689" s="631" t="s">
        <v>163</v>
      </c>
      <c r="C689" s="631"/>
      <c r="D689" s="631"/>
      <c r="E689" s="631"/>
      <c r="F689" s="632" t="s">
        <v>116</v>
      </c>
      <c r="G689" s="632">
        <v>0</v>
      </c>
      <c r="H689" s="632">
        <v>16</v>
      </c>
      <c r="I689" s="632">
        <v>458</v>
      </c>
      <c r="J689" s="632">
        <v>3</v>
      </c>
      <c r="K689" s="632">
        <v>477</v>
      </c>
      <c r="L689" s="632"/>
      <c r="M689" s="644"/>
    </row>
    <row r="690" spans="1:13" ht="15" customHeight="1">
      <c r="A690" s="643">
        <v>11410</v>
      </c>
      <c r="B690" s="631" t="s">
        <v>163</v>
      </c>
      <c r="C690" s="631"/>
      <c r="D690" s="631"/>
      <c r="E690" s="631"/>
      <c r="F690" s="632" t="s">
        <v>114</v>
      </c>
      <c r="G690" s="632">
        <v>0</v>
      </c>
      <c r="H690" s="632">
        <v>139</v>
      </c>
      <c r="I690" s="632">
        <v>645</v>
      </c>
      <c r="J690" s="632">
        <v>18</v>
      </c>
      <c r="K690" s="632">
        <v>802</v>
      </c>
      <c r="L690" s="632"/>
      <c r="M690" s="644"/>
    </row>
    <row r="691" spans="1:13" ht="15" customHeight="1">
      <c r="A691" s="643">
        <v>11410</v>
      </c>
      <c r="B691" s="631" t="s">
        <v>163</v>
      </c>
      <c r="C691" s="631"/>
      <c r="D691" s="631"/>
      <c r="E691" s="631"/>
      <c r="F691" s="632" t="s">
        <v>119</v>
      </c>
      <c r="G691" s="632">
        <v>0</v>
      </c>
      <c r="H691" s="632">
        <v>1</v>
      </c>
      <c r="I691" s="632">
        <v>62</v>
      </c>
      <c r="J691" s="632">
        <v>0</v>
      </c>
      <c r="K691" s="632">
        <v>63</v>
      </c>
      <c r="L691" s="632"/>
      <c r="M691" s="644"/>
    </row>
    <row r="692" spans="1:13" ht="15" customHeight="1">
      <c r="A692" s="643">
        <v>11410</v>
      </c>
      <c r="B692" s="631" t="s">
        <v>163</v>
      </c>
      <c r="C692" s="631"/>
      <c r="D692" s="631"/>
      <c r="E692" s="631"/>
      <c r="F692" s="632" t="s">
        <v>122</v>
      </c>
      <c r="G692" s="632">
        <v>0</v>
      </c>
      <c r="H692" s="632">
        <v>47</v>
      </c>
      <c r="I692" s="632">
        <v>138</v>
      </c>
      <c r="J692" s="632">
        <v>4</v>
      </c>
      <c r="K692" s="632">
        <v>189</v>
      </c>
      <c r="L692" s="632"/>
      <c r="M692" s="644"/>
    </row>
    <row r="693" spans="1:13" ht="15" customHeight="1">
      <c r="A693" s="639">
        <v>11510</v>
      </c>
      <c r="B693" s="627" t="s">
        <v>368</v>
      </c>
      <c r="C693" s="627" t="s">
        <v>95</v>
      </c>
      <c r="D693" s="627" t="s">
        <v>18</v>
      </c>
      <c r="E693" s="628">
        <v>2.25</v>
      </c>
      <c r="F693" s="628" t="s">
        <v>132</v>
      </c>
      <c r="G693" s="628">
        <v>36</v>
      </c>
      <c r="H693" s="628">
        <v>2</v>
      </c>
      <c r="I693" s="628">
        <v>48</v>
      </c>
      <c r="J693" s="628">
        <v>0</v>
      </c>
      <c r="K693" s="628">
        <v>86</v>
      </c>
      <c r="L693" s="628">
        <v>84</v>
      </c>
      <c r="M693" s="640">
        <v>189</v>
      </c>
    </row>
    <row r="694" spans="1:13" ht="15" customHeight="1">
      <c r="A694" s="641">
        <v>11510</v>
      </c>
      <c r="B694" s="629" t="s">
        <v>368</v>
      </c>
      <c r="C694" s="629" t="s">
        <v>95</v>
      </c>
      <c r="D694" s="629" t="s">
        <v>18</v>
      </c>
      <c r="E694" s="630">
        <v>2.25</v>
      </c>
      <c r="F694" s="630" t="s">
        <v>109</v>
      </c>
      <c r="G694" s="630">
        <v>0</v>
      </c>
      <c r="H694" s="630">
        <v>16</v>
      </c>
      <c r="I694" s="630">
        <v>98</v>
      </c>
      <c r="J694" s="630">
        <v>1</v>
      </c>
      <c r="K694" s="630">
        <v>115</v>
      </c>
      <c r="L694" s="630">
        <v>98.5</v>
      </c>
      <c r="M694" s="642">
        <v>221.63</v>
      </c>
    </row>
    <row r="695" spans="1:13" ht="15" customHeight="1">
      <c r="A695" s="639">
        <v>11510</v>
      </c>
      <c r="B695" s="627" t="s">
        <v>368</v>
      </c>
      <c r="C695" s="627" t="s">
        <v>96</v>
      </c>
      <c r="D695" s="627" t="s">
        <v>97</v>
      </c>
      <c r="E695" s="628">
        <v>1.65</v>
      </c>
      <c r="F695" s="628" t="s">
        <v>132</v>
      </c>
      <c r="G695" s="628">
        <v>231</v>
      </c>
      <c r="H695" s="628">
        <v>6</v>
      </c>
      <c r="I695" s="628">
        <v>137</v>
      </c>
      <c r="J695" s="628">
        <v>3</v>
      </c>
      <c r="K695" s="628">
        <v>377</v>
      </c>
      <c r="L695" s="628">
        <v>369.5</v>
      </c>
      <c r="M695" s="640">
        <v>609.68</v>
      </c>
    </row>
    <row r="696" spans="1:13" ht="15" customHeight="1">
      <c r="A696" s="641">
        <v>11510</v>
      </c>
      <c r="B696" s="629" t="s">
        <v>368</v>
      </c>
      <c r="C696" s="629" t="s">
        <v>96</v>
      </c>
      <c r="D696" s="629" t="s">
        <v>97</v>
      </c>
      <c r="E696" s="630">
        <v>1.65</v>
      </c>
      <c r="F696" s="630" t="s">
        <v>109</v>
      </c>
      <c r="G696" s="630">
        <v>0</v>
      </c>
      <c r="H696" s="630">
        <v>59</v>
      </c>
      <c r="I696" s="630">
        <v>496</v>
      </c>
      <c r="J696" s="630">
        <v>12</v>
      </c>
      <c r="K696" s="630">
        <v>567</v>
      </c>
      <c r="L696" s="630">
        <v>502</v>
      </c>
      <c r="M696" s="642">
        <v>828.3</v>
      </c>
    </row>
    <row r="697" spans="1:13" ht="15" customHeight="1">
      <c r="A697" s="639">
        <v>11510</v>
      </c>
      <c r="B697" s="627" t="s">
        <v>368</v>
      </c>
      <c r="C697" s="627" t="s">
        <v>98</v>
      </c>
      <c r="D697" s="627" t="s">
        <v>18</v>
      </c>
      <c r="E697" s="628">
        <v>2.25</v>
      </c>
      <c r="F697" s="628" t="s">
        <v>116</v>
      </c>
      <c r="G697" s="628">
        <v>0</v>
      </c>
      <c r="H697" s="628">
        <v>0</v>
      </c>
      <c r="I697" s="628">
        <v>63</v>
      </c>
      <c r="J697" s="628">
        <v>0</v>
      </c>
      <c r="K697" s="628">
        <v>63</v>
      </c>
      <c r="L697" s="628">
        <v>63</v>
      </c>
      <c r="M697" s="640">
        <v>141.75</v>
      </c>
    </row>
    <row r="698" spans="1:13" ht="15" customHeight="1">
      <c r="A698" s="641">
        <v>11510</v>
      </c>
      <c r="B698" s="629" t="s">
        <v>368</v>
      </c>
      <c r="C698" s="629" t="s">
        <v>98</v>
      </c>
      <c r="D698" s="629" t="s">
        <v>18</v>
      </c>
      <c r="E698" s="630">
        <v>2.25</v>
      </c>
      <c r="F698" s="630" t="s">
        <v>114</v>
      </c>
      <c r="G698" s="630">
        <v>0</v>
      </c>
      <c r="H698" s="630">
        <v>3</v>
      </c>
      <c r="I698" s="630">
        <v>69</v>
      </c>
      <c r="J698" s="630">
        <v>1</v>
      </c>
      <c r="K698" s="630">
        <v>73</v>
      </c>
      <c r="L698" s="630">
        <v>69.5</v>
      </c>
      <c r="M698" s="642">
        <v>156.38</v>
      </c>
    </row>
    <row r="699" spans="1:13" ht="15" customHeight="1">
      <c r="A699" s="639">
        <v>11510</v>
      </c>
      <c r="B699" s="627" t="s">
        <v>368</v>
      </c>
      <c r="C699" s="627" t="s">
        <v>369</v>
      </c>
      <c r="D699" s="627" t="s">
        <v>97</v>
      </c>
      <c r="E699" s="628">
        <v>1.65</v>
      </c>
      <c r="F699" s="628" t="s">
        <v>116</v>
      </c>
      <c r="G699" s="628">
        <v>0</v>
      </c>
      <c r="H699" s="628">
        <v>7</v>
      </c>
      <c r="I699" s="628">
        <v>260</v>
      </c>
      <c r="J699" s="628">
        <v>2</v>
      </c>
      <c r="K699" s="628">
        <v>269</v>
      </c>
      <c r="L699" s="628">
        <v>261</v>
      </c>
      <c r="M699" s="640">
        <v>430.65</v>
      </c>
    </row>
    <row r="700" spans="1:13" ht="15" customHeight="1">
      <c r="A700" s="641">
        <v>11510</v>
      </c>
      <c r="B700" s="629" t="s">
        <v>368</v>
      </c>
      <c r="C700" s="629" t="s">
        <v>369</v>
      </c>
      <c r="D700" s="629" t="s">
        <v>97</v>
      </c>
      <c r="E700" s="630">
        <v>1.65</v>
      </c>
      <c r="F700" s="630" t="s">
        <v>114</v>
      </c>
      <c r="G700" s="630">
        <v>0</v>
      </c>
      <c r="H700" s="630">
        <v>36</v>
      </c>
      <c r="I700" s="630">
        <v>247</v>
      </c>
      <c r="J700" s="630">
        <v>2</v>
      </c>
      <c r="K700" s="630">
        <v>285</v>
      </c>
      <c r="L700" s="630">
        <v>248</v>
      </c>
      <c r="M700" s="642">
        <v>409.2</v>
      </c>
    </row>
    <row r="701" spans="1:13" ht="15" customHeight="1">
      <c r="A701" s="639">
        <v>11510</v>
      </c>
      <c r="B701" s="627" t="s">
        <v>368</v>
      </c>
      <c r="C701" s="627" t="s">
        <v>168</v>
      </c>
      <c r="D701" s="627" t="s">
        <v>169</v>
      </c>
      <c r="E701" s="628">
        <v>2.25</v>
      </c>
      <c r="F701" s="628" t="s">
        <v>119</v>
      </c>
      <c r="G701" s="628">
        <v>0</v>
      </c>
      <c r="H701" s="628">
        <v>0</v>
      </c>
      <c r="I701" s="628">
        <v>3</v>
      </c>
      <c r="J701" s="628">
        <v>0</v>
      </c>
      <c r="K701" s="628">
        <v>3</v>
      </c>
      <c r="L701" s="628">
        <v>3</v>
      </c>
      <c r="M701" s="640">
        <v>6.75</v>
      </c>
    </row>
    <row r="702" spans="1:13" ht="15" customHeight="1">
      <c r="A702" s="641">
        <v>11510</v>
      </c>
      <c r="B702" s="629" t="s">
        <v>368</v>
      </c>
      <c r="C702" s="629" t="s">
        <v>168</v>
      </c>
      <c r="D702" s="629" t="s">
        <v>169</v>
      </c>
      <c r="E702" s="630">
        <v>2.25</v>
      </c>
      <c r="F702" s="630" t="s">
        <v>122</v>
      </c>
      <c r="G702" s="630">
        <v>0</v>
      </c>
      <c r="H702" s="630">
        <v>12</v>
      </c>
      <c r="I702" s="630">
        <v>13</v>
      </c>
      <c r="J702" s="630">
        <v>0</v>
      </c>
      <c r="K702" s="630">
        <v>25</v>
      </c>
      <c r="L702" s="630">
        <v>13</v>
      </c>
      <c r="M702" s="642">
        <v>29.25</v>
      </c>
    </row>
    <row r="703" spans="1:13" ht="15" customHeight="1">
      <c r="A703" s="639">
        <v>11510</v>
      </c>
      <c r="B703" s="627" t="s">
        <v>368</v>
      </c>
      <c r="C703" s="627" t="s">
        <v>99</v>
      </c>
      <c r="D703" s="627" t="s">
        <v>100</v>
      </c>
      <c r="E703" s="628">
        <v>1.65</v>
      </c>
      <c r="F703" s="628" t="s">
        <v>119</v>
      </c>
      <c r="G703" s="628">
        <v>0</v>
      </c>
      <c r="H703" s="628">
        <v>0</v>
      </c>
      <c r="I703" s="628">
        <v>22</v>
      </c>
      <c r="J703" s="628">
        <v>0</v>
      </c>
      <c r="K703" s="628">
        <v>22</v>
      </c>
      <c r="L703" s="628">
        <v>22</v>
      </c>
      <c r="M703" s="640">
        <v>36.3</v>
      </c>
    </row>
    <row r="704" spans="1:13" ht="15" customHeight="1">
      <c r="A704" s="641">
        <v>11510</v>
      </c>
      <c r="B704" s="629" t="s">
        <v>368</v>
      </c>
      <c r="C704" s="629" t="s">
        <v>99</v>
      </c>
      <c r="D704" s="629" t="s">
        <v>100</v>
      </c>
      <c r="E704" s="630">
        <v>1.65</v>
      </c>
      <c r="F704" s="630" t="s">
        <v>122</v>
      </c>
      <c r="G704" s="630">
        <v>0</v>
      </c>
      <c r="H704" s="630">
        <v>45</v>
      </c>
      <c r="I704" s="630">
        <v>62</v>
      </c>
      <c r="J704" s="630">
        <v>1</v>
      </c>
      <c r="K704" s="630">
        <v>108</v>
      </c>
      <c r="L704" s="630">
        <v>62.5</v>
      </c>
      <c r="M704" s="642">
        <v>103.13</v>
      </c>
    </row>
    <row r="705" spans="1:13" ht="15" customHeight="1">
      <c r="A705" s="643">
        <v>11510</v>
      </c>
      <c r="B705" s="631" t="s">
        <v>163</v>
      </c>
      <c r="C705" s="631"/>
      <c r="D705" s="631"/>
      <c r="E705" s="631"/>
      <c r="F705" s="632" t="s">
        <v>132</v>
      </c>
      <c r="G705" s="632">
        <v>267</v>
      </c>
      <c r="H705" s="632">
        <v>8</v>
      </c>
      <c r="I705" s="632">
        <v>185</v>
      </c>
      <c r="J705" s="632">
        <v>3</v>
      </c>
      <c r="K705" s="632">
        <v>463</v>
      </c>
      <c r="L705" s="632"/>
      <c r="M705" s="644"/>
    </row>
    <row r="706" spans="1:13" ht="15" customHeight="1">
      <c r="A706" s="643">
        <v>11510</v>
      </c>
      <c r="B706" s="631" t="s">
        <v>163</v>
      </c>
      <c r="C706" s="631"/>
      <c r="D706" s="631"/>
      <c r="E706" s="631"/>
      <c r="F706" s="632" t="s">
        <v>109</v>
      </c>
      <c r="G706" s="632">
        <v>0</v>
      </c>
      <c r="H706" s="632">
        <v>75</v>
      </c>
      <c r="I706" s="632">
        <v>594</v>
      </c>
      <c r="J706" s="632">
        <v>13</v>
      </c>
      <c r="K706" s="632">
        <v>682</v>
      </c>
      <c r="L706" s="632"/>
      <c r="M706" s="644"/>
    </row>
    <row r="707" spans="1:13" ht="15" customHeight="1">
      <c r="A707" s="643">
        <v>11510</v>
      </c>
      <c r="B707" s="631" t="s">
        <v>163</v>
      </c>
      <c r="C707" s="631"/>
      <c r="D707" s="631"/>
      <c r="E707" s="631"/>
      <c r="F707" s="632" t="s">
        <v>110</v>
      </c>
      <c r="G707" s="632">
        <v>0</v>
      </c>
      <c r="H707" s="632">
        <v>0</v>
      </c>
      <c r="I707" s="632">
        <v>0</v>
      </c>
      <c r="J707" s="632">
        <v>0</v>
      </c>
      <c r="K707" s="632">
        <v>0</v>
      </c>
      <c r="L707" s="632"/>
      <c r="M707" s="644"/>
    </row>
    <row r="708" spans="1:13" ht="15" customHeight="1">
      <c r="A708" s="643">
        <v>11510</v>
      </c>
      <c r="B708" s="631" t="s">
        <v>163</v>
      </c>
      <c r="C708" s="631"/>
      <c r="D708" s="631"/>
      <c r="E708" s="631"/>
      <c r="F708" s="632" t="s">
        <v>113</v>
      </c>
      <c r="G708" s="632">
        <v>0</v>
      </c>
      <c r="H708" s="632">
        <v>0</v>
      </c>
      <c r="I708" s="632">
        <v>0</v>
      </c>
      <c r="J708" s="632">
        <v>0</v>
      </c>
      <c r="K708" s="632">
        <v>0</v>
      </c>
      <c r="L708" s="632"/>
      <c r="M708" s="644"/>
    </row>
    <row r="709" spans="1:13" ht="15" customHeight="1">
      <c r="A709" s="643">
        <v>11510</v>
      </c>
      <c r="B709" s="631" t="s">
        <v>163</v>
      </c>
      <c r="C709" s="631"/>
      <c r="D709" s="631"/>
      <c r="E709" s="631"/>
      <c r="F709" s="632" t="s">
        <v>116</v>
      </c>
      <c r="G709" s="632">
        <v>0</v>
      </c>
      <c r="H709" s="632">
        <v>7</v>
      </c>
      <c r="I709" s="632">
        <v>323</v>
      </c>
      <c r="J709" s="632">
        <v>2</v>
      </c>
      <c r="K709" s="632">
        <v>332</v>
      </c>
      <c r="L709" s="632"/>
      <c r="M709" s="644"/>
    </row>
    <row r="710" spans="1:13" ht="15" customHeight="1">
      <c r="A710" s="643">
        <v>11510</v>
      </c>
      <c r="B710" s="631" t="s">
        <v>163</v>
      </c>
      <c r="C710" s="631"/>
      <c r="D710" s="631"/>
      <c r="E710" s="631"/>
      <c r="F710" s="632" t="s">
        <v>114</v>
      </c>
      <c r="G710" s="632">
        <v>0</v>
      </c>
      <c r="H710" s="632">
        <v>39</v>
      </c>
      <c r="I710" s="632">
        <v>316</v>
      </c>
      <c r="J710" s="632">
        <v>3</v>
      </c>
      <c r="K710" s="632">
        <v>358</v>
      </c>
      <c r="L710" s="632"/>
      <c r="M710" s="644"/>
    </row>
    <row r="711" spans="1:13" ht="15" customHeight="1">
      <c r="A711" s="643">
        <v>11510</v>
      </c>
      <c r="B711" s="631" t="s">
        <v>163</v>
      </c>
      <c r="C711" s="631"/>
      <c r="D711" s="631"/>
      <c r="E711" s="631"/>
      <c r="F711" s="632" t="s">
        <v>119</v>
      </c>
      <c r="G711" s="632">
        <v>0</v>
      </c>
      <c r="H711" s="632">
        <v>0</v>
      </c>
      <c r="I711" s="632">
        <v>25</v>
      </c>
      <c r="J711" s="632">
        <v>0</v>
      </c>
      <c r="K711" s="632">
        <v>25</v>
      </c>
      <c r="L711" s="632"/>
      <c r="M711" s="644"/>
    </row>
    <row r="712" spans="1:13" ht="14.25">
      <c r="A712" s="643">
        <v>11510</v>
      </c>
      <c r="B712" s="631" t="s">
        <v>163</v>
      </c>
      <c r="C712" s="631"/>
      <c r="D712" s="631"/>
      <c r="E712" s="631"/>
      <c r="F712" s="632" t="s">
        <v>122</v>
      </c>
      <c r="G712" s="632">
        <v>0</v>
      </c>
      <c r="H712" s="632">
        <v>57</v>
      </c>
      <c r="I712" s="632">
        <v>75</v>
      </c>
      <c r="J712" s="632">
        <v>1</v>
      </c>
      <c r="K712" s="632">
        <v>133</v>
      </c>
      <c r="L712" s="632"/>
      <c r="M712" s="644"/>
    </row>
    <row r="713" spans="1:13" ht="14.25">
      <c r="A713" s="645">
        <v>1100</v>
      </c>
      <c r="B713" s="633" t="s">
        <v>370</v>
      </c>
      <c r="C713" s="633"/>
      <c r="D713" s="633"/>
      <c r="E713" s="633"/>
      <c r="F713" s="634" t="s">
        <v>132</v>
      </c>
      <c r="G713" s="634">
        <v>4018</v>
      </c>
      <c r="H713" s="634">
        <v>249</v>
      </c>
      <c r="I713" s="634">
        <v>2193</v>
      </c>
      <c r="J713" s="634">
        <v>42</v>
      </c>
      <c r="K713" s="634">
        <v>6502</v>
      </c>
      <c r="L713" s="634">
        <v>6232</v>
      </c>
      <c r="M713" s="646">
        <v>9406.2</v>
      </c>
    </row>
    <row r="714" spans="1:13" ht="14.25">
      <c r="A714" s="645">
        <v>1100</v>
      </c>
      <c r="B714" s="633" t="s">
        <v>370</v>
      </c>
      <c r="C714" s="633"/>
      <c r="D714" s="633"/>
      <c r="E714" s="633"/>
      <c r="F714" s="634" t="s">
        <v>109</v>
      </c>
      <c r="G714" s="634">
        <v>0</v>
      </c>
      <c r="H714" s="634">
        <v>1752</v>
      </c>
      <c r="I714" s="634">
        <v>9054</v>
      </c>
      <c r="J714" s="634">
        <v>236</v>
      </c>
      <c r="K714" s="634">
        <v>11042</v>
      </c>
      <c r="L714" s="634">
        <v>9172</v>
      </c>
      <c r="M714" s="646">
        <v>13572.34</v>
      </c>
    </row>
    <row r="715" spans="1:13" ht="14.25">
      <c r="A715" s="645">
        <v>1100</v>
      </c>
      <c r="B715" s="633" t="s">
        <v>370</v>
      </c>
      <c r="C715" s="633"/>
      <c r="D715" s="633"/>
      <c r="E715" s="633"/>
      <c r="F715" s="634" t="s">
        <v>110</v>
      </c>
      <c r="G715" s="634">
        <v>1695</v>
      </c>
      <c r="H715" s="634">
        <v>34</v>
      </c>
      <c r="I715" s="634">
        <v>687</v>
      </c>
      <c r="J715" s="634">
        <v>8</v>
      </c>
      <c r="K715" s="634">
        <v>2424</v>
      </c>
      <c r="L715" s="634">
        <v>2386</v>
      </c>
      <c r="M715" s="646">
        <v>5284.5</v>
      </c>
    </row>
    <row r="716" spans="1:13" ht="14.25">
      <c r="A716" s="645">
        <v>1100</v>
      </c>
      <c r="B716" s="633" t="s">
        <v>370</v>
      </c>
      <c r="C716" s="633"/>
      <c r="D716" s="633"/>
      <c r="E716" s="633"/>
      <c r="F716" s="634" t="s">
        <v>113</v>
      </c>
      <c r="G716" s="634">
        <v>0</v>
      </c>
      <c r="H716" s="634">
        <v>933</v>
      </c>
      <c r="I716" s="634">
        <v>8863</v>
      </c>
      <c r="J716" s="634">
        <v>106</v>
      </c>
      <c r="K716" s="634">
        <v>9902</v>
      </c>
      <c r="L716" s="634">
        <v>8916</v>
      </c>
      <c r="M716" s="646">
        <v>19719.63</v>
      </c>
    </row>
    <row r="717" spans="1:13" ht="14.25">
      <c r="A717" s="645">
        <v>1100</v>
      </c>
      <c r="B717" s="633" t="s">
        <v>370</v>
      </c>
      <c r="C717" s="633"/>
      <c r="D717" s="633"/>
      <c r="E717" s="633"/>
      <c r="F717" s="634" t="s">
        <v>116</v>
      </c>
      <c r="G717" s="634">
        <v>0</v>
      </c>
      <c r="H717" s="634">
        <v>90</v>
      </c>
      <c r="I717" s="634">
        <v>3228</v>
      </c>
      <c r="J717" s="634">
        <v>17</v>
      </c>
      <c r="K717" s="634">
        <v>3335</v>
      </c>
      <c r="L717" s="634">
        <v>3236.5</v>
      </c>
      <c r="M717" s="646">
        <v>4734.88</v>
      </c>
    </row>
    <row r="718" spans="1:13" ht="14.25">
      <c r="A718" s="645">
        <v>1100</v>
      </c>
      <c r="B718" s="633" t="s">
        <v>370</v>
      </c>
      <c r="C718" s="633"/>
      <c r="D718" s="633"/>
      <c r="E718" s="633"/>
      <c r="F718" s="634" t="s">
        <v>114</v>
      </c>
      <c r="G718" s="634">
        <v>0</v>
      </c>
      <c r="H718" s="634">
        <v>804</v>
      </c>
      <c r="I718" s="634">
        <v>4202</v>
      </c>
      <c r="J718" s="634">
        <v>72</v>
      </c>
      <c r="K718" s="634">
        <v>5078</v>
      </c>
      <c r="L718" s="634">
        <v>4238</v>
      </c>
      <c r="M718" s="646">
        <v>6064.09</v>
      </c>
    </row>
    <row r="719" spans="1:13" ht="14.25">
      <c r="A719" s="645">
        <v>1100</v>
      </c>
      <c r="B719" s="633" t="s">
        <v>370</v>
      </c>
      <c r="C719" s="633"/>
      <c r="D719" s="633"/>
      <c r="E719" s="633"/>
      <c r="F719" s="634" t="s">
        <v>119</v>
      </c>
      <c r="G719" s="634">
        <v>0</v>
      </c>
      <c r="H719" s="634">
        <v>60</v>
      </c>
      <c r="I719" s="634">
        <v>1078</v>
      </c>
      <c r="J719" s="634">
        <v>2</v>
      </c>
      <c r="K719" s="634">
        <v>1140</v>
      </c>
      <c r="L719" s="634">
        <v>1079</v>
      </c>
      <c r="M719" s="646">
        <v>2024.25</v>
      </c>
    </row>
    <row r="720" spans="1:13" ht="14.25">
      <c r="A720" s="645">
        <v>1100</v>
      </c>
      <c r="B720" s="633" t="s">
        <v>370</v>
      </c>
      <c r="C720" s="633"/>
      <c r="D720" s="633"/>
      <c r="E720" s="633"/>
      <c r="F720" s="634" t="s">
        <v>122</v>
      </c>
      <c r="G720" s="634">
        <v>0</v>
      </c>
      <c r="H720" s="634">
        <v>2179</v>
      </c>
      <c r="I720" s="634">
        <v>3403</v>
      </c>
      <c r="J720" s="634">
        <v>44</v>
      </c>
      <c r="K720" s="634">
        <v>5626</v>
      </c>
      <c r="L720" s="634">
        <v>3425</v>
      </c>
      <c r="M720" s="646">
        <v>6484.09</v>
      </c>
    </row>
    <row r="721" ht="9.75">
      <c r="F721" s="99"/>
    </row>
    <row r="722" spans="1:13" ht="14.25">
      <c r="A722" s="645">
        <v>1100</v>
      </c>
      <c r="B722" s="633" t="s">
        <v>370</v>
      </c>
      <c r="C722" s="633"/>
      <c r="D722" s="633"/>
      <c r="E722" s="633"/>
      <c r="F722" s="634" t="s">
        <v>714</v>
      </c>
      <c r="G722" s="634">
        <f>G713+G715+G717+G719</f>
        <v>5713</v>
      </c>
      <c r="H722" s="634">
        <f aca="true" t="shared" si="0" ref="H722:M722">H713+H715+H717+H719</f>
        <v>433</v>
      </c>
      <c r="I722" s="634">
        <f t="shared" si="0"/>
        <v>7186</v>
      </c>
      <c r="J722" s="634">
        <f t="shared" si="0"/>
        <v>69</v>
      </c>
      <c r="K722" s="634">
        <f t="shared" si="0"/>
        <v>13401</v>
      </c>
      <c r="L722" s="634">
        <f t="shared" si="0"/>
        <v>12933.5</v>
      </c>
      <c r="M722" s="634">
        <f t="shared" si="0"/>
        <v>21449.83</v>
      </c>
    </row>
    <row r="723" ht="9.75">
      <c r="F723" s="99"/>
    </row>
    <row r="724" ht="9.75">
      <c r="F724" s="99"/>
    </row>
    <row r="725" ht="9.75">
      <c r="F725" s="99"/>
    </row>
    <row r="726" ht="9.75">
      <c r="F726" s="99"/>
    </row>
    <row r="727" ht="9.75">
      <c r="F727" s="99"/>
    </row>
    <row r="728" ht="9.75">
      <c r="F728" s="99"/>
    </row>
    <row r="729" ht="9.75">
      <c r="F729" s="99"/>
    </row>
    <row r="730" ht="9.75">
      <c r="F730" s="99"/>
    </row>
    <row r="731" ht="9.75">
      <c r="F731" s="99"/>
    </row>
    <row r="732" ht="9.75">
      <c r="F732" s="99"/>
    </row>
    <row r="733" ht="9.75">
      <c r="F733" s="99"/>
    </row>
    <row r="734" ht="9.75">
      <c r="F734" s="99"/>
    </row>
    <row r="735" ht="9.75">
      <c r="F735" s="99"/>
    </row>
    <row r="736" ht="9.75">
      <c r="F736" s="99"/>
    </row>
    <row r="737" ht="9.75">
      <c r="F737" s="99"/>
    </row>
    <row r="738" ht="9.75">
      <c r="F738" s="99"/>
    </row>
    <row r="739" ht="9.75">
      <c r="F739" s="99"/>
    </row>
    <row r="740" ht="9.75">
      <c r="F740" s="99"/>
    </row>
    <row r="741" ht="9.75">
      <c r="F741" s="99"/>
    </row>
    <row r="742" ht="9.75">
      <c r="F742" s="99"/>
    </row>
    <row r="743" ht="9.75">
      <c r="F743" s="99"/>
    </row>
    <row r="744" ht="9.75">
      <c r="F744" s="99"/>
    </row>
    <row r="745" ht="9.75">
      <c r="F745" s="99"/>
    </row>
    <row r="746" ht="9.75">
      <c r="F746" s="99"/>
    </row>
    <row r="747" ht="9.75">
      <c r="F747" s="99"/>
    </row>
    <row r="748" ht="9.75">
      <c r="F748" s="99"/>
    </row>
    <row r="749" ht="9.75">
      <c r="F749" s="99"/>
    </row>
    <row r="750" ht="9.75">
      <c r="F750" s="99"/>
    </row>
    <row r="751" ht="9.75">
      <c r="F751" s="99"/>
    </row>
    <row r="752" ht="9.75">
      <c r="F752" s="99"/>
    </row>
    <row r="753" ht="9.75">
      <c r="F753" s="99"/>
    </row>
    <row r="754" ht="9.75">
      <c r="F754" s="99"/>
    </row>
    <row r="755" ht="9.75">
      <c r="F755" s="99"/>
    </row>
    <row r="756" ht="9.75">
      <c r="F756" s="99"/>
    </row>
    <row r="757" ht="9.75">
      <c r="F757" s="99"/>
    </row>
    <row r="758" ht="9.75">
      <c r="F758" s="99"/>
    </row>
    <row r="759" ht="9.75">
      <c r="F759" s="99"/>
    </row>
    <row r="760" ht="9.75">
      <c r="F760" s="99"/>
    </row>
    <row r="761" ht="9.75">
      <c r="F761" s="99"/>
    </row>
    <row r="762" ht="9.75">
      <c r="F762" s="99"/>
    </row>
    <row r="763" ht="9.75">
      <c r="F763" s="99"/>
    </row>
    <row r="764" ht="9.75">
      <c r="F764" s="99"/>
    </row>
    <row r="765" ht="9.75">
      <c r="F765" s="99"/>
    </row>
    <row r="766" ht="9.75">
      <c r="F766" s="99"/>
    </row>
    <row r="767" ht="9.75">
      <c r="F767" s="99"/>
    </row>
    <row r="768" ht="9.75">
      <c r="F768" s="99"/>
    </row>
    <row r="769" ht="9.75">
      <c r="F769" s="99"/>
    </row>
    <row r="770" ht="9.75">
      <c r="F770" s="99"/>
    </row>
    <row r="771" ht="9.75">
      <c r="F771" s="99"/>
    </row>
    <row r="772" ht="9.75">
      <c r="F772" s="99"/>
    </row>
    <row r="773" ht="9.75">
      <c r="F773" s="99"/>
    </row>
    <row r="774" ht="9.75">
      <c r="F774" s="99"/>
    </row>
    <row r="775" ht="9.75">
      <c r="F775" s="99"/>
    </row>
    <row r="776" ht="9.75">
      <c r="F776" s="99"/>
    </row>
    <row r="777" ht="9.75">
      <c r="F777" s="99"/>
    </row>
    <row r="778" ht="9.75">
      <c r="F778" s="99"/>
    </row>
    <row r="779" ht="9.75">
      <c r="F779" s="99"/>
    </row>
    <row r="780" ht="9.75">
      <c r="F780" s="99"/>
    </row>
    <row r="781" ht="9.75">
      <c r="F781" s="99"/>
    </row>
    <row r="782" ht="9.75">
      <c r="F782" s="99"/>
    </row>
    <row r="783" ht="9.75">
      <c r="F783" s="99"/>
    </row>
    <row r="784" ht="9.75">
      <c r="F784" s="99"/>
    </row>
    <row r="785" ht="9.75">
      <c r="F785" s="99"/>
    </row>
    <row r="786" ht="9.75">
      <c r="F786" s="99"/>
    </row>
    <row r="787" ht="9.75">
      <c r="F787" s="99"/>
    </row>
    <row r="788" ht="9.75">
      <c r="F788" s="99"/>
    </row>
    <row r="789" ht="9.75">
      <c r="F789" s="99"/>
    </row>
    <row r="790" ht="9.75">
      <c r="F790" s="99"/>
    </row>
    <row r="791" ht="9.75">
      <c r="F791" s="99"/>
    </row>
    <row r="792" ht="9.75">
      <c r="F792" s="99"/>
    </row>
    <row r="793" ht="9.75">
      <c r="F793" s="99"/>
    </row>
    <row r="794" ht="9.75">
      <c r="F794" s="99"/>
    </row>
    <row r="795" ht="9.75">
      <c r="F795" s="99"/>
    </row>
    <row r="796" ht="9.75">
      <c r="F796" s="99"/>
    </row>
    <row r="797" ht="9.75">
      <c r="F797" s="99"/>
    </row>
    <row r="798" ht="9.75">
      <c r="F798" s="99"/>
    </row>
    <row r="799" ht="9.75">
      <c r="F799" s="99"/>
    </row>
    <row r="800" ht="9.75">
      <c r="F800" s="99"/>
    </row>
    <row r="801" ht="9.75">
      <c r="F801" s="99"/>
    </row>
    <row r="802" ht="9.75">
      <c r="F802" s="99"/>
    </row>
    <row r="803" ht="9.75">
      <c r="F803" s="99"/>
    </row>
    <row r="804" ht="9.75">
      <c r="F804" s="99"/>
    </row>
    <row r="805" ht="9.75">
      <c r="F805" s="99"/>
    </row>
    <row r="806" ht="9.75">
      <c r="F806" s="99"/>
    </row>
    <row r="807" ht="9.75">
      <c r="F807" s="99"/>
    </row>
    <row r="808" ht="9.75">
      <c r="F808" s="99"/>
    </row>
    <row r="809" ht="9.75">
      <c r="F809" s="99"/>
    </row>
    <row r="810" ht="9.75">
      <c r="F810" s="99"/>
    </row>
    <row r="811" ht="9.75">
      <c r="F811" s="99"/>
    </row>
    <row r="812" ht="9.75">
      <c r="F812" s="99"/>
    </row>
    <row r="813" ht="9.75">
      <c r="F813" s="99"/>
    </row>
    <row r="814" ht="9.75">
      <c r="F814" s="99"/>
    </row>
    <row r="815" ht="9.75">
      <c r="F815" s="99"/>
    </row>
    <row r="816" ht="9.75">
      <c r="F816" s="99"/>
    </row>
    <row r="817" ht="9.75">
      <c r="F817" s="99"/>
    </row>
    <row r="818" ht="9.75">
      <c r="F818" s="99"/>
    </row>
    <row r="819" ht="9.75">
      <c r="F819" s="99"/>
    </row>
    <row r="820" ht="9.75">
      <c r="F820" s="99"/>
    </row>
    <row r="821" ht="9.75">
      <c r="F821" s="99"/>
    </row>
    <row r="822" ht="9.75">
      <c r="F822" s="99"/>
    </row>
    <row r="823" ht="9.75">
      <c r="F823" s="99"/>
    </row>
    <row r="824" ht="9.75">
      <c r="F824" s="99"/>
    </row>
    <row r="825" ht="9.75">
      <c r="F825" s="99"/>
    </row>
    <row r="826" ht="9.75">
      <c r="F826" s="99"/>
    </row>
    <row r="827" ht="9.75">
      <c r="F827" s="99"/>
    </row>
    <row r="828" ht="9.75">
      <c r="F828" s="99"/>
    </row>
    <row r="829" ht="9.75">
      <c r="F829" s="99"/>
    </row>
    <row r="830" ht="9.75">
      <c r="F830" s="99"/>
    </row>
    <row r="831" ht="9.75">
      <c r="F831" s="99"/>
    </row>
    <row r="832" ht="9.75">
      <c r="F832" s="99"/>
    </row>
    <row r="833" ht="9.75">
      <c r="F833" s="99"/>
    </row>
    <row r="834" ht="9.75">
      <c r="F834" s="99"/>
    </row>
    <row r="835" ht="9.75">
      <c r="F835" s="99"/>
    </row>
    <row r="836" ht="9.75">
      <c r="F836" s="99"/>
    </row>
    <row r="837" ht="9.75">
      <c r="F837" s="99"/>
    </row>
    <row r="838" ht="9.75">
      <c r="F838" s="99"/>
    </row>
    <row r="839" ht="9.75">
      <c r="F839" s="99"/>
    </row>
    <row r="840" ht="9.75">
      <c r="F840" s="99"/>
    </row>
    <row r="841" ht="9.75">
      <c r="F841" s="99"/>
    </row>
    <row r="842" ht="9.75">
      <c r="F842" s="99"/>
    </row>
    <row r="843" ht="9.75">
      <c r="F843" s="99"/>
    </row>
    <row r="844" ht="9.75">
      <c r="F844" s="99"/>
    </row>
    <row r="845" ht="9.75">
      <c r="F845" s="99"/>
    </row>
    <row r="846" ht="9.75">
      <c r="F846" s="99"/>
    </row>
    <row r="847" ht="9.75">
      <c r="F847" s="99"/>
    </row>
    <row r="848" ht="9.75">
      <c r="F848" s="99"/>
    </row>
    <row r="849" ht="9.75">
      <c r="F849" s="99"/>
    </row>
    <row r="850" ht="9.75">
      <c r="F850" s="99"/>
    </row>
    <row r="851" ht="9.75">
      <c r="F851" s="99"/>
    </row>
    <row r="852" ht="9.75">
      <c r="F852" s="99"/>
    </row>
    <row r="853" ht="9.75">
      <c r="F853" s="99"/>
    </row>
    <row r="854" ht="9.75">
      <c r="F854" s="99"/>
    </row>
    <row r="855" ht="9.75">
      <c r="F855" s="99"/>
    </row>
    <row r="856" ht="9.75">
      <c r="F856" s="99"/>
    </row>
    <row r="857" ht="9.75">
      <c r="F857" s="99"/>
    </row>
    <row r="858" ht="9.75">
      <c r="F858" s="99"/>
    </row>
    <row r="859" ht="9.75">
      <c r="F859" s="99"/>
    </row>
    <row r="860" ht="9.75">
      <c r="F860" s="99"/>
    </row>
    <row r="861" ht="9.75">
      <c r="F861" s="99"/>
    </row>
    <row r="862" ht="9.75">
      <c r="F862" s="99"/>
    </row>
    <row r="863" ht="9.75">
      <c r="F863" s="99"/>
    </row>
    <row r="864" ht="9.75">
      <c r="F864" s="99"/>
    </row>
    <row r="865" ht="9.75">
      <c r="F865" s="99"/>
    </row>
    <row r="866" ht="9.75">
      <c r="F866" s="99"/>
    </row>
    <row r="867" ht="9.75">
      <c r="F867" s="99"/>
    </row>
    <row r="868" ht="9.75">
      <c r="F868" s="99"/>
    </row>
    <row r="869" ht="9.75">
      <c r="F869" s="99"/>
    </row>
    <row r="870" ht="9.75">
      <c r="F870" s="99"/>
    </row>
    <row r="871" ht="9.75">
      <c r="F871" s="99"/>
    </row>
    <row r="872" ht="9.75">
      <c r="F872" s="99"/>
    </row>
    <row r="873" ht="9.75">
      <c r="F873" s="99"/>
    </row>
    <row r="874" ht="9.75">
      <c r="F874" s="99"/>
    </row>
    <row r="875" ht="9.75">
      <c r="F875" s="99"/>
    </row>
    <row r="876" ht="9.75">
      <c r="F876" s="99"/>
    </row>
    <row r="877" ht="9.75">
      <c r="F877" s="99"/>
    </row>
    <row r="878" ht="9.75">
      <c r="F878" s="99"/>
    </row>
    <row r="879" ht="9.75">
      <c r="F879" s="99"/>
    </row>
    <row r="880" ht="9.75">
      <c r="F880" s="99"/>
    </row>
    <row r="881" ht="9.75">
      <c r="F881" s="99"/>
    </row>
    <row r="882" ht="9.75">
      <c r="F882" s="99"/>
    </row>
    <row r="883" ht="9.75">
      <c r="F883" s="99"/>
    </row>
    <row r="884" ht="9.75">
      <c r="F884" s="99"/>
    </row>
    <row r="885" ht="9.75">
      <c r="F885" s="99"/>
    </row>
    <row r="886" ht="9.75">
      <c r="F886" s="99"/>
    </row>
    <row r="887" ht="9.75">
      <c r="F887" s="99"/>
    </row>
    <row r="888" ht="9.75">
      <c r="F888" s="99"/>
    </row>
    <row r="889" ht="9.75">
      <c r="F889" s="99"/>
    </row>
    <row r="890" ht="9.75">
      <c r="F890" s="99"/>
    </row>
    <row r="891" ht="9.75">
      <c r="F891" s="99"/>
    </row>
    <row r="892" ht="9.75">
      <c r="F892" s="99"/>
    </row>
    <row r="893" ht="9.75">
      <c r="F893" s="99"/>
    </row>
    <row r="894" ht="9.75">
      <c r="F894" s="99"/>
    </row>
    <row r="895" ht="9.75">
      <c r="F895" s="99"/>
    </row>
    <row r="896" ht="9.75">
      <c r="F896" s="99"/>
    </row>
    <row r="897" ht="9.75">
      <c r="F897" s="99"/>
    </row>
    <row r="898" ht="9.75">
      <c r="F898" s="99"/>
    </row>
    <row r="899" ht="9.75">
      <c r="F899" s="99"/>
    </row>
    <row r="900" ht="9.75">
      <c r="F900" s="99"/>
    </row>
    <row r="901" ht="9.75">
      <c r="F901" s="99"/>
    </row>
    <row r="902" ht="9.75">
      <c r="F902" s="99"/>
    </row>
    <row r="903" ht="9.75">
      <c r="F903" s="99"/>
    </row>
    <row r="904" ht="9.75">
      <c r="F904" s="99"/>
    </row>
    <row r="905" ht="9.75">
      <c r="F905" s="99"/>
    </row>
    <row r="906" ht="9.75">
      <c r="F906" s="99"/>
    </row>
    <row r="907" ht="9.75">
      <c r="F907" s="99"/>
    </row>
    <row r="908" ht="9.75">
      <c r="F908" s="99"/>
    </row>
    <row r="909" ht="9.75">
      <c r="F909" s="99"/>
    </row>
    <row r="910" ht="9.75">
      <c r="F910" s="99"/>
    </row>
    <row r="911" ht="9.75">
      <c r="F911" s="99"/>
    </row>
    <row r="912" ht="9.75">
      <c r="F912" s="99"/>
    </row>
    <row r="913" ht="9.75">
      <c r="F913" s="99"/>
    </row>
    <row r="914" ht="9.75">
      <c r="F914" s="99"/>
    </row>
    <row r="915" ht="9.75">
      <c r="F915" s="99"/>
    </row>
    <row r="916" ht="9.75">
      <c r="F916" s="99"/>
    </row>
    <row r="917" ht="9.75">
      <c r="F917" s="99"/>
    </row>
    <row r="918" ht="9.75">
      <c r="F918" s="99"/>
    </row>
    <row r="919" ht="9.75">
      <c r="F919" s="99"/>
    </row>
    <row r="920" ht="9.75">
      <c r="F920" s="99"/>
    </row>
    <row r="921" ht="9.75">
      <c r="F921" s="99"/>
    </row>
    <row r="922" ht="9.75">
      <c r="F922" s="99"/>
    </row>
    <row r="923" ht="9.75">
      <c r="F923" s="99"/>
    </row>
    <row r="924" ht="9.75">
      <c r="F924" s="99"/>
    </row>
    <row r="925" ht="9.75">
      <c r="F925" s="99"/>
    </row>
    <row r="926" ht="9.75">
      <c r="F926" s="99"/>
    </row>
    <row r="927" ht="9.75">
      <c r="F927" s="99"/>
    </row>
    <row r="928" ht="9.75">
      <c r="F928" s="99"/>
    </row>
    <row r="929" ht="9.75">
      <c r="F929" s="99"/>
    </row>
    <row r="930" ht="9.75">
      <c r="F930" s="99"/>
    </row>
    <row r="931" ht="9.75">
      <c r="F931" s="99"/>
    </row>
    <row r="932" ht="9.75">
      <c r="F932" s="99"/>
    </row>
    <row r="933" ht="9.75">
      <c r="F933" s="99"/>
    </row>
    <row r="934" ht="9.75">
      <c r="F934" s="99"/>
    </row>
    <row r="935" ht="9.75">
      <c r="F935" s="99"/>
    </row>
    <row r="936" ht="9.75">
      <c r="F936" s="99"/>
    </row>
    <row r="937" ht="9.75">
      <c r="F937" s="99"/>
    </row>
    <row r="938" ht="9.75">
      <c r="F938" s="99"/>
    </row>
    <row r="939" ht="9.75">
      <c r="F939" s="99"/>
    </row>
    <row r="940" ht="9.75">
      <c r="F940" s="99"/>
    </row>
    <row r="941" ht="9.75">
      <c r="F941" s="99"/>
    </row>
    <row r="942" ht="9.75">
      <c r="F942" s="99"/>
    </row>
    <row r="943" ht="9.75">
      <c r="F943" s="99"/>
    </row>
    <row r="944" ht="9.75">
      <c r="F944" s="99"/>
    </row>
    <row r="945" ht="9.75">
      <c r="F945" s="99"/>
    </row>
    <row r="946" ht="9.75">
      <c r="F946" s="99"/>
    </row>
    <row r="947" ht="9.75">
      <c r="F947" s="99"/>
    </row>
    <row r="948" ht="9.75">
      <c r="F948" s="99"/>
    </row>
    <row r="949" ht="9.75">
      <c r="F949" s="99"/>
    </row>
    <row r="950" ht="9.75">
      <c r="F950" s="99"/>
    </row>
    <row r="951" ht="9.75">
      <c r="F951" s="99"/>
    </row>
    <row r="952" ht="9.75">
      <c r="F952" s="99"/>
    </row>
    <row r="953" ht="9.75">
      <c r="F953" s="99"/>
    </row>
    <row r="954" ht="9.75">
      <c r="F954" s="99"/>
    </row>
    <row r="955" ht="9.75">
      <c r="F955" s="99"/>
    </row>
    <row r="956" ht="9.75">
      <c r="F956" s="99"/>
    </row>
    <row r="957" ht="9.75">
      <c r="F957" s="99"/>
    </row>
    <row r="958" ht="9.75">
      <c r="F958" s="99"/>
    </row>
    <row r="959" ht="9.75">
      <c r="F959" s="99"/>
    </row>
    <row r="960" ht="9.75">
      <c r="F960" s="99"/>
    </row>
    <row r="961" ht="9.75">
      <c r="F961" s="99"/>
    </row>
    <row r="962" ht="9.75">
      <c r="F962" s="99"/>
    </row>
    <row r="963" ht="9.75">
      <c r="F963" s="99"/>
    </row>
    <row r="964" ht="9.75">
      <c r="F964" s="99"/>
    </row>
    <row r="965" ht="9.75">
      <c r="F965" s="99"/>
    </row>
    <row r="966" ht="9.75">
      <c r="F966" s="99"/>
    </row>
    <row r="967" ht="9.75">
      <c r="F967" s="99"/>
    </row>
    <row r="968" ht="9.75">
      <c r="F968" s="99"/>
    </row>
    <row r="969" ht="9.75">
      <c r="F969" s="99"/>
    </row>
    <row r="970" ht="9.75">
      <c r="F970" s="99"/>
    </row>
    <row r="971" ht="9.75">
      <c r="F971" s="99"/>
    </row>
    <row r="972" ht="9.75">
      <c r="F972" s="99"/>
    </row>
    <row r="973" ht="9.75">
      <c r="F973" s="99"/>
    </row>
    <row r="974" ht="9.75">
      <c r="F974" s="99"/>
    </row>
    <row r="975" ht="9.75">
      <c r="F975" s="99"/>
    </row>
    <row r="976" ht="9.75">
      <c r="F976" s="99"/>
    </row>
    <row r="977" ht="9.75">
      <c r="F977" s="99"/>
    </row>
    <row r="978" ht="9.75">
      <c r="F978" s="99"/>
    </row>
    <row r="979" ht="9.75">
      <c r="F979" s="99"/>
    </row>
    <row r="980" ht="9.75">
      <c r="F980" s="99"/>
    </row>
    <row r="981" ht="9.75">
      <c r="F981" s="99"/>
    </row>
    <row r="982" ht="9.75">
      <c r="F982" s="99"/>
    </row>
    <row r="983" ht="9.75">
      <c r="F983" s="99"/>
    </row>
    <row r="984" ht="9.75">
      <c r="F984" s="99"/>
    </row>
    <row r="985" ht="9.75">
      <c r="F985" s="99"/>
    </row>
    <row r="986" ht="9.75">
      <c r="F986" s="99"/>
    </row>
    <row r="987" ht="9.75">
      <c r="F987" s="99"/>
    </row>
    <row r="988" ht="9.75">
      <c r="F988" s="99"/>
    </row>
    <row r="989" ht="9.75">
      <c r="F989" s="99"/>
    </row>
    <row r="990" ht="9.75">
      <c r="F990" s="99"/>
    </row>
    <row r="991" ht="9.75">
      <c r="F991" s="99"/>
    </row>
    <row r="992" ht="9.75">
      <c r="F992" s="99"/>
    </row>
    <row r="993" ht="9.75">
      <c r="F993" s="99"/>
    </row>
    <row r="994" ht="9.75">
      <c r="F994" s="99"/>
    </row>
    <row r="995" ht="9.75">
      <c r="F995" s="99"/>
    </row>
    <row r="996" ht="9.75">
      <c r="F996" s="99"/>
    </row>
    <row r="997" ht="9.75">
      <c r="F997" s="99"/>
    </row>
    <row r="998" ht="9.75">
      <c r="F998" s="99"/>
    </row>
    <row r="999" ht="9.75">
      <c r="F999" s="99"/>
    </row>
    <row r="1000" ht="9.75">
      <c r="F1000" s="99"/>
    </row>
    <row r="1001" ht="9.75">
      <c r="F1001" s="99"/>
    </row>
    <row r="1002" ht="9.75">
      <c r="F1002" s="99"/>
    </row>
    <row r="1003" ht="9.75">
      <c r="F1003" s="99"/>
    </row>
    <row r="1004" ht="9.75">
      <c r="F1004" s="99"/>
    </row>
    <row r="1005" ht="9.75">
      <c r="F1005" s="99"/>
    </row>
    <row r="1006" ht="9.75">
      <c r="F1006" s="99"/>
    </row>
    <row r="1007" ht="9.75">
      <c r="F1007" s="99"/>
    </row>
    <row r="1008" ht="9.75">
      <c r="F1008" s="99"/>
    </row>
    <row r="1009" ht="9.75">
      <c r="F1009" s="99"/>
    </row>
    <row r="1010" ht="9.75">
      <c r="F1010" s="99"/>
    </row>
    <row r="1011" ht="9.75">
      <c r="F1011" s="99"/>
    </row>
    <row r="1012" ht="9.75">
      <c r="F1012" s="99"/>
    </row>
    <row r="1013" ht="9.75">
      <c r="F1013" s="99"/>
    </row>
    <row r="1014" ht="9.75">
      <c r="F1014" s="99"/>
    </row>
    <row r="1015" ht="9.75">
      <c r="F1015" s="99"/>
    </row>
    <row r="1016" ht="9.75">
      <c r="F1016" s="99"/>
    </row>
    <row r="1017" ht="9.75">
      <c r="F1017" s="99"/>
    </row>
    <row r="1018" ht="9.75">
      <c r="F1018" s="99"/>
    </row>
    <row r="1019" ht="9.75">
      <c r="F1019" s="99"/>
    </row>
    <row r="1020" ht="9.75">
      <c r="F1020" s="99"/>
    </row>
    <row r="1021" ht="9.75">
      <c r="F1021" s="99"/>
    </row>
    <row r="1022" ht="9.75">
      <c r="F1022" s="99"/>
    </row>
    <row r="1023" ht="9.75">
      <c r="F1023" s="99"/>
    </row>
    <row r="1024" ht="9.75">
      <c r="F1024" s="99"/>
    </row>
    <row r="1025" ht="9.75">
      <c r="F1025" s="99"/>
    </row>
    <row r="1026" ht="9.75">
      <c r="F1026" s="99"/>
    </row>
    <row r="1027" ht="9.75">
      <c r="F1027" s="99"/>
    </row>
    <row r="1028" ht="9.75">
      <c r="F1028" s="99"/>
    </row>
    <row r="1029" ht="9.75">
      <c r="F1029" s="99"/>
    </row>
    <row r="1030" ht="9.75">
      <c r="F1030" s="99"/>
    </row>
    <row r="1031" ht="9.75">
      <c r="F1031" s="99"/>
    </row>
    <row r="1032" ht="9.75">
      <c r="F1032" s="99"/>
    </row>
    <row r="1033" ht="9.75">
      <c r="F1033" s="99"/>
    </row>
    <row r="1034" ht="9.75">
      <c r="F1034" s="99"/>
    </row>
    <row r="1035" ht="9.75">
      <c r="F1035" s="99"/>
    </row>
    <row r="1036" ht="9.75">
      <c r="F1036" s="99"/>
    </row>
    <row r="1037" ht="9.75">
      <c r="F1037" s="99"/>
    </row>
    <row r="1038" ht="9.75">
      <c r="F1038" s="99"/>
    </row>
    <row r="1039" ht="9.75">
      <c r="F1039" s="99"/>
    </row>
    <row r="1040" ht="9.75">
      <c r="F1040" s="99"/>
    </row>
    <row r="1041" ht="9.75">
      <c r="F1041" s="99"/>
    </row>
    <row r="1042" ht="9.75">
      <c r="F1042" s="99"/>
    </row>
    <row r="1043" ht="9.75">
      <c r="F1043" s="99"/>
    </row>
    <row r="1044" ht="9.75">
      <c r="F1044" s="99"/>
    </row>
    <row r="1045" ht="9.75">
      <c r="F1045" s="99"/>
    </row>
    <row r="1046" ht="9.75">
      <c r="F1046" s="99"/>
    </row>
    <row r="1047" ht="9.75">
      <c r="F1047" s="99"/>
    </row>
    <row r="1048" ht="9.75">
      <c r="F1048" s="99"/>
    </row>
    <row r="1049" ht="9.75">
      <c r="F1049" s="99"/>
    </row>
    <row r="1050" ht="9.75">
      <c r="F1050" s="99"/>
    </row>
    <row r="1051" ht="9.75">
      <c r="F1051" s="99"/>
    </row>
    <row r="1052" ht="9.75">
      <c r="F1052" s="99"/>
    </row>
    <row r="1053" ht="9.75">
      <c r="F1053" s="99"/>
    </row>
    <row r="1054" ht="9.75">
      <c r="F1054" s="99"/>
    </row>
    <row r="1055" ht="9.75">
      <c r="F1055" s="99"/>
    </row>
    <row r="1056" ht="9.75">
      <c r="F1056" s="99"/>
    </row>
    <row r="1057" ht="9.75">
      <c r="F1057" s="99"/>
    </row>
    <row r="1058" ht="9.75">
      <c r="F1058" s="99"/>
    </row>
    <row r="1059" ht="9.75">
      <c r="F1059" s="99"/>
    </row>
    <row r="1060" ht="9.75">
      <c r="F1060" s="99"/>
    </row>
    <row r="1061" ht="9.75">
      <c r="F1061" s="99"/>
    </row>
    <row r="1062" ht="9.75">
      <c r="F1062" s="99"/>
    </row>
    <row r="1063" ht="9.75">
      <c r="F1063" s="99"/>
    </row>
    <row r="1064" ht="9.75">
      <c r="F1064" s="99"/>
    </row>
    <row r="1065" ht="9.75">
      <c r="F1065" s="99"/>
    </row>
    <row r="1066" ht="9.75">
      <c r="F1066" s="99"/>
    </row>
    <row r="1067" ht="9.75">
      <c r="F1067" s="99"/>
    </row>
    <row r="1068" ht="9.75">
      <c r="F1068" s="99"/>
    </row>
    <row r="1069" ht="9.75">
      <c r="F1069" s="99"/>
    </row>
    <row r="1070" ht="9.75">
      <c r="F1070" s="99"/>
    </row>
    <row r="1071" ht="9.75">
      <c r="F1071" s="99"/>
    </row>
    <row r="1072" ht="9.75">
      <c r="F1072" s="99"/>
    </row>
    <row r="1073" ht="9.75">
      <c r="F1073" s="99"/>
    </row>
    <row r="1074" ht="9.75">
      <c r="F1074" s="99"/>
    </row>
    <row r="1075" ht="9.75">
      <c r="F1075" s="99"/>
    </row>
    <row r="1076" ht="9.75">
      <c r="F1076" s="99"/>
    </row>
    <row r="1077" ht="9.75">
      <c r="F1077" s="99"/>
    </row>
    <row r="1078" ht="9.75">
      <c r="F1078" s="99"/>
    </row>
    <row r="1079" ht="9.75">
      <c r="F1079" s="99"/>
    </row>
    <row r="1080" ht="9.75">
      <c r="F1080" s="99"/>
    </row>
    <row r="1081" ht="9.75">
      <c r="F1081" s="99"/>
    </row>
    <row r="1082" ht="9.75">
      <c r="F1082" s="99"/>
    </row>
    <row r="1083" ht="9.75">
      <c r="F1083" s="99"/>
    </row>
    <row r="1084" ht="9.75">
      <c r="F1084" s="99"/>
    </row>
    <row r="1085" ht="9.75">
      <c r="F1085" s="99"/>
    </row>
    <row r="1086" ht="9.75">
      <c r="F1086" s="99"/>
    </row>
    <row r="1087" ht="9.75">
      <c r="F1087" s="99"/>
    </row>
    <row r="1088" ht="9.75">
      <c r="F1088" s="99"/>
    </row>
    <row r="1089" ht="9.75">
      <c r="F1089" s="99"/>
    </row>
    <row r="1090" ht="9.75">
      <c r="F1090" s="99"/>
    </row>
    <row r="1091" ht="9.75">
      <c r="F1091" s="99"/>
    </row>
    <row r="1092" ht="9.75">
      <c r="F1092" s="99"/>
    </row>
    <row r="1093" ht="9.75">
      <c r="F1093" s="99"/>
    </row>
    <row r="1094" ht="9.75">
      <c r="F1094" s="99"/>
    </row>
    <row r="1095" ht="9.75">
      <c r="F1095" s="99"/>
    </row>
    <row r="1096" ht="9.75">
      <c r="F1096" s="99"/>
    </row>
    <row r="1097" ht="9.75">
      <c r="F1097" s="99"/>
    </row>
    <row r="1098" ht="9.75">
      <c r="F1098" s="99"/>
    </row>
    <row r="1099" ht="9.75">
      <c r="F1099" s="99"/>
    </row>
    <row r="1100" ht="9.75">
      <c r="F1100" s="99"/>
    </row>
    <row r="1101" ht="9.75">
      <c r="F1101" s="99"/>
    </row>
    <row r="1102" ht="9.75">
      <c r="F1102" s="99"/>
    </row>
    <row r="1103" ht="9.75">
      <c r="F1103" s="99"/>
    </row>
    <row r="1104" ht="9.75">
      <c r="F1104" s="99"/>
    </row>
    <row r="1105" ht="9.75">
      <c r="F1105" s="99"/>
    </row>
    <row r="1106" ht="9.75">
      <c r="F1106" s="99"/>
    </row>
    <row r="1107" ht="9.75">
      <c r="F1107" s="99"/>
    </row>
    <row r="1108" ht="9.75">
      <c r="F1108" s="99"/>
    </row>
    <row r="1109" ht="9.75">
      <c r="F1109" s="99"/>
    </row>
    <row r="1110" ht="9.75">
      <c r="F1110" s="99"/>
    </row>
    <row r="1111" ht="9.75">
      <c r="F1111" s="99"/>
    </row>
    <row r="1112" ht="9.75">
      <c r="F1112" s="99"/>
    </row>
    <row r="1113" ht="9.75">
      <c r="F1113" s="99"/>
    </row>
    <row r="1114" ht="9.75">
      <c r="F1114" s="99"/>
    </row>
    <row r="1115" ht="9.75">
      <c r="F1115" s="99"/>
    </row>
    <row r="1116" ht="9.75">
      <c r="F1116" s="99"/>
    </row>
    <row r="1117" ht="9.75">
      <c r="F1117" s="99"/>
    </row>
    <row r="1118" ht="9.75">
      <c r="F1118" s="99"/>
    </row>
    <row r="1119" ht="9.75">
      <c r="F1119" s="99"/>
    </row>
    <row r="1120" ht="9.75">
      <c r="F1120" s="99"/>
    </row>
    <row r="1121" ht="9.75">
      <c r="F1121" s="99"/>
    </row>
    <row r="1122" ht="9.75">
      <c r="F1122" s="99"/>
    </row>
    <row r="1123" ht="9.75">
      <c r="F1123" s="99"/>
    </row>
    <row r="1124" ht="9.75">
      <c r="F1124" s="99"/>
    </row>
    <row r="1125" ht="9.75">
      <c r="F1125" s="99"/>
    </row>
    <row r="1126" ht="9.75">
      <c r="F1126" s="99"/>
    </row>
    <row r="1127" ht="9.75">
      <c r="F1127" s="99"/>
    </row>
    <row r="1128" ht="9.75">
      <c r="F1128" s="99"/>
    </row>
    <row r="1129" ht="9.75">
      <c r="F1129" s="99"/>
    </row>
    <row r="1130" ht="9.75">
      <c r="F1130" s="99"/>
    </row>
    <row r="1131" ht="9.75">
      <c r="F1131" s="99"/>
    </row>
    <row r="1132" ht="9.75">
      <c r="F1132" s="99"/>
    </row>
    <row r="1133" ht="9.75">
      <c r="F1133" s="99"/>
    </row>
    <row r="1134" ht="9.75">
      <c r="F1134" s="99"/>
    </row>
    <row r="1135" ht="9.75">
      <c r="F1135" s="99"/>
    </row>
    <row r="1136" ht="9.75">
      <c r="F1136" s="99"/>
    </row>
    <row r="1137" ht="9.75">
      <c r="F1137" s="99"/>
    </row>
    <row r="1138" ht="9.75">
      <c r="F1138" s="99"/>
    </row>
    <row r="1139" ht="9.75">
      <c r="F1139" s="99"/>
    </row>
    <row r="1140" ht="9.75">
      <c r="F1140" s="99"/>
    </row>
    <row r="1141" ht="9.75">
      <c r="F1141" s="99"/>
    </row>
    <row r="1142" ht="9.75">
      <c r="F1142" s="99"/>
    </row>
    <row r="1143" ht="9.75">
      <c r="F1143" s="99"/>
    </row>
    <row r="1144" ht="9.75">
      <c r="F1144" s="99"/>
    </row>
    <row r="1145" ht="9.75">
      <c r="F1145" s="99"/>
    </row>
    <row r="1146" ht="9.75">
      <c r="F1146" s="99"/>
    </row>
    <row r="1147" ht="9.75">
      <c r="F1147" s="99"/>
    </row>
    <row r="1148" ht="9.75">
      <c r="F1148" s="99"/>
    </row>
    <row r="1149" ht="9.75">
      <c r="F1149" s="99"/>
    </row>
    <row r="1150" ht="9.75">
      <c r="F1150" s="99"/>
    </row>
    <row r="1151" ht="9.75">
      <c r="F1151" s="99"/>
    </row>
    <row r="1152" ht="9.75">
      <c r="F1152" s="99"/>
    </row>
    <row r="1153" ht="9.75">
      <c r="F1153" s="99"/>
    </row>
    <row r="1154" ht="9.75">
      <c r="F1154" s="99"/>
    </row>
    <row r="1155" ht="9.75">
      <c r="F1155" s="99"/>
    </row>
    <row r="1156" ht="9.75">
      <c r="F1156" s="99"/>
    </row>
    <row r="1157" ht="9.75">
      <c r="F1157" s="99"/>
    </row>
    <row r="1158" ht="9.75">
      <c r="F1158" s="99"/>
    </row>
    <row r="1159" ht="9.75">
      <c r="F1159" s="99"/>
    </row>
    <row r="1160" ht="9.75">
      <c r="F1160" s="99"/>
    </row>
    <row r="1161" ht="9.75">
      <c r="F1161" s="99"/>
    </row>
    <row r="1162" ht="9.75">
      <c r="F1162" s="99"/>
    </row>
    <row r="1163" ht="9.75">
      <c r="F1163" s="99"/>
    </row>
    <row r="1164" ht="9.75">
      <c r="F1164" s="99"/>
    </row>
    <row r="1165" ht="9.75">
      <c r="F1165" s="99"/>
    </row>
    <row r="1166" ht="9.75">
      <c r="F1166" s="99"/>
    </row>
    <row r="1167" ht="9.75">
      <c r="F1167" s="99"/>
    </row>
    <row r="1168" ht="9.75">
      <c r="F1168" s="99"/>
    </row>
    <row r="1169" ht="9.75">
      <c r="F1169" s="99"/>
    </row>
    <row r="1170" ht="9.75">
      <c r="F1170" s="99"/>
    </row>
    <row r="1171" ht="9.75">
      <c r="F1171" s="99"/>
    </row>
    <row r="1172" ht="9.75">
      <c r="F1172" s="99"/>
    </row>
    <row r="1173" ht="9.75">
      <c r="F1173" s="99"/>
    </row>
    <row r="1174" ht="9.75">
      <c r="F1174" s="99"/>
    </row>
    <row r="1175" ht="9.75">
      <c r="F1175" s="99"/>
    </row>
    <row r="1176" ht="9.75">
      <c r="F1176" s="99"/>
    </row>
    <row r="1177" ht="9.75">
      <c r="F1177" s="99"/>
    </row>
    <row r="1178" ht="9.75">
      <c r="F1178" s="99"/>
    </row>
    <row r="1179" ht="9.75">
      <c r="F1179" s="99"/>
    </row>
    <row r="1180" ht="9.75">
      <c r="F1180" s="99"/>
    </row>
    <row r="1181" ht="9.75">
      <c r="F1181" s="99"/>
    </row>
    <row r="1182" ht="9.75">
      <c r="F1182" s="99"/>
    </row>
    <row r="1183" ht="9.75">
      <c r="F1183" s="99"/>
    </row>
    <row r="1184" ht="9.75">
      <c r="F1184" s="99"/>
    </row>
    <row r="1185" ht="9.75">
      <c r="F1185" s="99"/>
    </row>
    <row r="1186" ht="9.75">
      <c r="F1186" s="99"/>
    </row>
    <row r="1187" ht="9.75">
      <c r="F1187" s="99"/>
    </row>
    <row r="1188" ht="9.75">
      <c r="F1188" s="99"/>
    </row>
    <row r="1189" ht="9.75">
      <c r="F1189" s="99"/>
    </row>
    <row r="1190" ht="9.75">
      <c r="F1190" s="99"/>
    </row>
    <row r="1191" ht="9.75">
      <c r="F1191" s="99"/>
    </row>
    <row r="1192" ht="9.75">
      <c r="F1192" s="99"/>
    </row>
    <row r="1193" ht="9.75">
      <c r="F1193" s="99"/>
    </row>
    <row r="1194" ht="9.75">
      <c r="F1194" s="99"/>
    </row>
    <row r="1195" ht="9.75">
      <c r="F1195" s="99"/>
    </row>
    <row r="1196" ht="9.75">
      <c r="F1196" s="99"/>
    </row>
    <row r="1197" ht="9.75">
      <c r="F1197" s="99"/>
    </row>
    <row r="1198" ht="9.75">
      <c r="F1198" s="99"/>
    </row>
    <row r="1199" ht="9.75">
      <c r="F1199" s="99"/>
    </row>
    <row r="1200" ht="9.75">
      <c r="F1200" s="99"/>
    </row>
    <row r="1201" ht="9.75">
      <c r="F1201" s="99"/>
    </row>
    <row r="1202" ht="9.75">
      <c r="F1202" s="99"/>
    </row>
    <row r="1203" ht="9.75">
      <c r="F1203" s="99"/>
    </row>
    <row r="1204" ht="9.75">
      <c r="F1204" s="99"/>
    </row>
    <row r="1205" ht="9.75">
      <c r="F1205" s="99"/>
    </row>
    <row r="1206" ht="9.75">
      <c r="F1206" s="99"/>
    </row>
    <row r="1207" ht="9.75">
      <c r="F1207" s="99"/>
    </row>
    <row r="1208" ht="9.75">
      <c r="F1208" s="99"/>
    </row>
    <row r="1209" ht="9.75">
      <c r="F1209" s="99"/>
    </row>
    <row r="1210" ht="9.75">
      <c r="F1210" s="99"/>
    </row>
    <row r="1211" ht="9.75">
      <c r="F1211" s="99"/>
    </row>
    <row r="1212" ht="9.75">
      <c r="F1212" s="99"/>
    </row>
    <row r="1213" ht="9.75">
      <c r="F1213" s="99"/>
    </row>
    <row r="1214" ht="9.75">
      <c r="F1214" s="99"/>
    </row>
    <row r="1215" ht="9.75">
      <c r="F1215" s="99"/>
    </row>
    <row r="1216" ht="9.75">
      <c r="F1216" s="99"/>
    </row>
    <row r="1217" ht="9.75">
      <c r="F1217" s="99"/>
    </row>
    <row r="1218" ht="9.75">
      <c r="F1218" s="99"/>
    </row>
    <row r="1219" ht="9.75">
      <c r="F1219" s="99"/>
    </row>
    <row r="1220" ht="9.75">
      <c r="F1220" s="99"/>
    </row>
    <row r="1221" ht="9.75">
      <c r="F1221" s="99"/>
    </row>
    <row r="1222" ht="9.75">
      <c r="F1222" s="99"/>
    </row>
    <row r="1223" ht="9.75">
      <c r="F1223" s="99"/>
    </row>
    <row r="1224" ht="9.75">
      <c r="F1224" s="99"/>
    </row>
    <row r="1225" ht="9.75">
      <c r="F1225" s="99"/>
    </row>
    <row r="1226" ht="9.75">
      <c r="F1226" s="99"/>
    </row>
    <row r="1227" ht="9.75">
      <c r="F1227" s="99"/>
    </row>
    <row r="1228" ht="9.75">
      <c r="F1228" s="99"/>
    </row>
    <row r="1229" ht="9.75">
      <c r="F1229" s="99"/>
    </row>
    <row r="1230" ht="9.75">
      <c r="F1230" s="99"/>
    </row>
    <row r="1231" ht="9.75">
      <c r="F1231" s="99"/>
    </row>
    <row r="1232" ht="9.75">
      <c r="F1232" s="99"/>
    </row>
    <row r="1233" ht="9.75">
      <c r="F1233" s="99"/>
    </row>
    <row r="1234" ht="9.75">
      <c r="F1234" s="99"/>
    </row>
    <row r="1235" ht="9.75">
      <c r="F1235" s="99"/>
    </row>
    <row r="1236" ht="9.75">
      <c r="F1236" s="99"/>
    </row>
    <row r="1237" ht="9.75">
      <c r="F1237" s="99"/>
    </row>
    <row r="1238" ht="9.75">
      <c r="F1238" s="99"/>
    </row>
    <row r="1239" ht="9.75">
      <c r="F1239" s="99"/>
    </row>
    <row r="1240" ht="9.75">
      <c r="F1240" s="99"/>
    </row>
    <row r="1241" ht="9.75">
      <c r="F1241" s="99"/>
    </row>
    <row r="1242" ht="9.75">
      <c r="F1242" s="99"/>
    </row>
    <row r="1243" ht="9.75">
      <c r="F1243" s="99"/>
    </row>
    <row r="1244" ht="9.75">
      <c r="F1244" s="99"/>
    </row>
    <row r="1245" ht="9.75">
      <c r="F1245" s="99"/>
    </row>
    <row r="1246" ht="9.75">
      <c r="F1246" s="99"/>
    </row>
    <row r="1247" ht="9.75">
      <c r="F1247" s="99"/>
    </row>
    <row r="1248" ht="9.75">
      <c r="F1248" s="99"/>
    </row>
    <row r="1249" ht="9.75">
      <c r="F1249" s="99"/>
    </row>
    <row r="1250" ht="9.75">
      <c r="F1250" s="99"/>
    </row>
    <row r="1251" ht="9.75">
      <c r="F1251" s="99"/>
    </row>
    <row r="1252" ht="9.75">
      <c r="F1252" s="99"/>
    </row>
    <row r="1253" ht="9.75">
      <c r="F1253" s="99"/>
    </row>
    <row r="1254" ht="9.75">
      <c r="F1254" s="99"/>
    </row>
    <row r="1255" ht="9.75">
      <c r="F1255" s="99"/>
    </row>
    <row r="1256" ht="9.75">
      <c r="F1256" s="99"/>
    </row>
    <row r="1257" ht="9.75">
      <c r="F1257" s="99"/>
    </row>
    <row r="1258" ht="9.75">
      <c r="F1258" s="99"/>
    </row>
    <row r="1259" ht="9.75">
      <c r="F1259" s="99"/>
    </row>
    <row r="1260" ht="9.75">
      <c r="F1260" s="99"/>
    </row>
    <row r="1261" ht="9.75">
      <c r="F1261" s="99"/>
    </row>
    <row r="1262" ht="9.75">
      <c r="F1262" s="99"/>
    </row>
    <row r="1263" ht="9.75">
      <c r="F1263" s="99"/>
    </row>
    <row r="1264" ht="9.75">
      <c r="F1264" s="99"/>
    </row>
    <row r="1265" ht="9.75">
      <c r="F1265" s="99"/>
    </row>
    <row r="1266" ht="9.75">
      <c r="F1266" s="99"/>
    </row>
    <row r="1267" ht="9.75">
      <c r="F1267" s="99"/>
    </row>
    <row r="1268" ht="9.75">
      <c r="F1268" s="99"/>
    </row>
    <row r="1269" ht="9.75">
      <c r="F1269" s="99"/>
    </row>
    <row r="1270" ht="9.75">
      <c r="F1270" s="99"/>
    </row>
    <row r="1271" ht="9.75">
      <c r="F1271" s="99"/>
    </row>
    <row r="1272" ht="9.75">
      <c r="F1272" s="99"/>
    </row>
    <row r="1273" ht="9.75">
      <c r="F1273" s="99"/>
    </row>
    <row r="1274" ht="9.75">
      <c r="F1274" s="99"/>
    </row>
    <row r="1275" ht="9.75">
      <c r="F1275" s="99"/>
    </row>
    <row r="1276" ht="9.75">
      <c r="F1276" s="99"/>
    </row>
    <row r="1277" ht="9.75">
      <c r="F1277" s="99"/>
    </row>
    <row r="1278" ht="9.75">
      <c r="F1278" s="99"/>
    </row>
    <row r="1279" ht="9.75">
      <c r="F1279" s="99"/>
    </row>
    <row r="1280" ht="9.75">
      <c r="F1280" s="99"/>
    </row>
    <row r="1281" ht="9.75">
      <c r="F1281" s="99"/>
    </row>
    <row r="1282" ht="9.75">
      <c r="F1282" s="99"/>
    </row>
    <row r="1283" ht="9.75">
      <c r="F1283" s="99"/>
    </row>
    <row r="1284" ht="9.75">
      <c r="F1284" s="99"/>
    </row>
    <row r="1285" ht="9.75">
      <c r="F1285" s="99"/>
    </row>
    <row r="1286" ht="9.75">
      <c r="F1286" s="99"/>
    </row>
    <row r="1287" ht="9.75">
      <c r="F1287" s="99"/>
    </row>
    <row r="1288" ht="9.75">
      <c r="F1288" s="99"/>
    </row>
    <row r="1289" ht="9.75">
      <c r="F1289" s="99"/>
    </row>
    <row r="1290" ht="9.75">
      <c r="F1290" s="99"/>
    </row>
    <row r="1291" ht="9.75">
      <c r="F1291" s="99"/>
    </row>
    <row r="1292" ht="9.75">
      <c r="F1292" s="99"/>
    </row>
    <row r="1293" ht="9.75">
      <c r="F1293" s="99"/>
    </row>
    <row r="1294" ht="9.75">
      <c r="F1294" s="99"/>
    </row>
    <row r="1295" ht="9.75">
      <c r="F1295" s="99"/>
    </row>
    <row r="1296" ht="9.75">
      <c r="F1296" s="99"/>
    </row>
    <row r="1297" ht="9.75">
      <c r="F1297" s="99"/>
    </row>
    <row r="1298" ht="9.75">
      <c r="F1298" s="99"/>
    </row>
    <row r="1299" ht="9.75">
      <c r="F1299" s="99"/>
    </row>
    <row r="1300" ht="9.75">
      <c r="F1300" s="99"/>
    </row>
    <row r="1301" ht="9.75">
      <c r="F1301" s="99"/>
    </row>
    <row r="1302" ht="9.75">
      <c r="F1302" s="99"/>
    </row>
    <row r="1303" ht="9.75">
      <c r="F1303" s="99"/>
    </row>
    <row r="1304" ht="9.75">
      <c r="F1304" s="99"/>
    </row>
    <row r="1305" ht="9.75">
      <c r="F1305" s="99"/>
    </row>
    <row r="1306" ht="9.75">
      <c r="F1306" s="99"/>
    </row>
    <row r="1307" ht="9.75">
      <c r="F1307" s="99"/>
    </row>
    <row r="1308" ht="9.75">
      <c r="F1308" s="99"/>
    </row>
    <row r="1309" ht="9.75">
      <c r="F1309" s="99"/>
    </row>
    <row r="1310" ht="9.75">
      <c r="F1310" s="99"/>
    </row>
    <row r="1311" ht="9.75">
      <c r="F1311" s="99"/>
    </row>
    <row r="1312" ht="9.75">
      <c r="F1312" s="99"/>
    </row>
    <row r="1313" ht="9.75">
      <c r="F1313" s="99"/>
    </row>
    <row r="1314" ht="9.75">
      <c r="F1314" s="99"/>
    </row>
    <row r="1315" ht="9.75">
      <c r="F1315" s="99"/>
    </row>
    <row r="1316" ht="9.75">
      <c r="F1316" s="99"/>
    </row>
    <row r="1317" ht="9.75">
      <c r="F1317" s="99"/>
    </row>
    <row r="1318" ht="9.75">
      <c r="F1318" s="99"/>
    </row>
    <row r="1319" ht="9.75">
      <c r="F1319" s="99"/>
    </row>
    <row r="1320" ht="9.75">
      <c r="F1320" s="99"/>
    </row>
    <row r="1321" ht="9.75">
      <c r="F1321" s="99"/>
    </row>
    <row r="1322" ht="9.75">
      <c r="F1322" s="99"/>
    </row>
    <row r="1323" ht="9.75">
      <c r="F1323" s="99"/>
    </row>
    <row r="1324" ht="9.75">
      <c r="F1324" s="99"/>
    </row>
    <row r="1325" ht="9.75">
      <c r="F1325" s="99"/>
    </row>
    <row r="1326" ht="9.75">
      <c r="F1326" s="99"/>
    </row>
    <row r="1327" ht="9.75">
      <c r="F1327" s="99"/>
    </row>
    <row r="1328" ht="9.75">
      <c r="F1328" s="99"/>
    </row>
    <row r="1329" ht="9.75">
      <c r="F1329" s="99"/>
    </row>
    <row r="1330" ht="9.75">
      <c r="F1330" s="99"/>
    </row>
    <row r="1331" ht="9.75">
      <c r="F1331" s="99"/>
    </row>
    <row r="1332" ht="9.75">
      <c r="F1332" s="99"/>
    </row>
    <row r="1333" ht="9.75">
      <c r="F1333" s="99"/>
    </row>
    <row r="1334" ht="9.75">
      <c r="F1334" s="99"/>
    </row>
    <row r="1335" ht="9.75">
      <c r="F1335" s="99"/>
    </row>
    <row r="1336" ht="9.75">
      <c r="F1336" s="99"/>
    </row>
    <row r="1337" ht="9.75">
      <c r="F1337" s="99"/>
    </row>
    <row r="1338" ht="9.75">
      <c r="F1338" s="99"/>
    </row>
    <row r="1339" ht="9.75">
      <c r="F1339" s="99"/>
    </row>
    <row r="1340" ht="9.75">
      <c r="F1340" s="99"/>
    </row>
    <row r="1341" ht="9.75">
      <c r="F1341" s="99"/>
    </row>
    <row r="1342" ht="9.75">
      <c r="F1342" s="99"/>
    </row>
    <row r="1343" ht="9.75">
      <c r="F1343" s="99"/>
    </row>
    <row r="1344" ht="9.75">
      <c r="F1344" s="99"/>
    </row>
    <row r="1345" ht="9.75">
      <c r="F1345" s="99"/>
    </row>
    <row r="1346" ht="9.75">
      <c r="F1346" s="99"/>
    </row>
    <row r="1347" ht="9.75">
      <c r="F1347" s="99"/>
    </row>
    <row r="1348" ht="9.75">
      <c r="F1348" s="99"/>
    </row>
    <row r="1349" ht="9.75">
      <c r="F1349" s="99"/>
    </row>
    <row r="1350" ht="9.75">
      <c r="F1350" s="99"/>
    </row>
    <row r="1351" ht="9.75">
      <c r="F1351" s="99"/>
    </row>
    <row r="1352" ht="9.75">
      <c r="F1352" s="99"/>
    </row>
    <row r="1353" ht="9.75">
      <c r="F1353" s="99"/>
    </row>
    <row r="1354" ht="9.75">
      <c r="F1354" s="99"/>
    </row>
    <row r="1355" ht="9.75">
      <c r="F1355" s="99"/>
    </row>
    <row r="1356" ht="9.75">
      <c r="F1356" s="99"/>
    </row>
    <row r="1357" ht="9.75">
      <c r="F1357" s="99"/>
    </row>
    <row r="1358" ht="9.75">
      <c r="F1358" s="99"/>
    </row>
    <row r="1359" ht="9.75">
      <c r="F1359" s="99"/>
    </row>
    <row r="1360" ht="9.75">
      <c r="F1360" s="99"/>
    </row>
    <row r="1361" ht="9.75">
      <c r="F1361" s="99"/>
    </row>
    <row r="1362" ht="9.75">
      <c r="F1362" s="99"/>
    </row>
    <row r="1363" ht="9.75">
      <c r="F1363" s="99"/>
    </row>
    <row r="1364" ht="9.75">
      <c r="F1364" s="99"/>
    </row>
    <row r="1365" ht="9.75">
      <c r="F1365" s="99"/>
    </row>
    <row r="1366" ht="9.75">
      <c r="F1366" s="99"/>
    </row>
    <row r="1367" ht="9.75">
      <c r="F1367" s="99"/>
    </row>
    <row r="1368" ht="9.75">
      <c r="F1368" s="99"/>
    </row>
    <row r="1369" ht="9.75">
      <c r="F1369" s="99"/>
    </row>
    <row r="1370" ht="9.75">
      <c r="F1370" s="99"/>
    </row>
    <row r="1371" ht="9.75">
      <c r="F1371" s="99"/>
    </row>
    <row r="1372" ht="9.75">
      <c r="F1372" s="99"/>
    </row>
    <row r="1373" ht="9.75">
      <c r="F1373" s="99"/>
    </row>
    <row r="1374" ht="9.75">
      <c r="F1374" s="99"/>
    </row>
    <row r="1375" ht="9.75">
      <c r="F1375" s="99"/>
    </row>
    <row r="1376" ht="9.75">
      <c r="F1376" s="99"/>
    </row>
    <row r="1377" ht="9.75">
      <c r="F1377" s="99"/>
    </row>
    <row r="1378" ht="9.75">
      <c r="F1378" s="99"/>
    </row>
    <row r="1379" ht="9.75">
      <c r="F1379" s="99"/>
    </row>
    <row r="1380" ht="9.75">
      <c r="F1380" s="99"/>
    </row>
    <row r="1381" ht="9.75">
      <c r="F1381" s="99"/>
    </row>
    <row r="1382" ht="9.75">
      <c r="F1382" s="99"/>
    </row>
    <row r="1383" ht="9.75">
      <c r="F1383" s="99"/>
    </row>
    <row r="1384" ht="9.75">
      <c r="F1384" s="99"/>
    </row>
    <row r="1385" ht="9.75">
      <c r="F1385" s="99"/>
    </row>
    <row r="1386" ht="9.75">
      <c r="F1386" s="99"/>
    </row>
    <row r="1387" ht="9.75">
      <c r="F1387" s="99"/>
    </row>
    <row r="1388" ht="9.75">
      <c r="F1388" s="99"/>
    </row>
    <row r="1389" ht="9.75">
      <c r="F1389" s="99"/>
    </row>
    <row r="1390" ht="9.75">
      <c r="F1390" s="99"/>
    </row>
    <row r="1391" ht="9.75">
      <c r="F1391" s="99"/>
    </row>
    <row r="1392" ht="9.75">
      <c r="F1392" s="99"/>
    </row>
    <row r="1393" ht="9.75">
      <c r="F1393" s="99"/>
    </row>
    <row r="1394" ht="9.75">
      <c r="F1394" s="99"/>
    </row>
    <row r="1395" ht="9.75">
      <c r="F1395" s="99"/>
    </row>
    <row r="1396" ht="9.75">
      <c r="F1396" s="99"/>
    </row>
    <row r="1397" ht="9.75">
      <c r="F1397" s="99"/>
    </row>
    <row r="1398" ht="9.75">
      <c r="F1398" s="99"/>
    </row>
    <row r="1399" ht="9.75">
      <c r="F1399" s="99"/>
    </row>
    <row r="1400" ht="9.75">
      <c r="F1400" s="99"/>
    </row>
    <row r="1401" ht="9.75">
      <c r="F1401" s="99"/>
    </row>
    <row r="1402" ht="9.75">
      <c r="F1402" s="99"/>
    </row>
    <row r="1403" ht="9.75">
      <c r="F1403" s="99"/>
    </row>
    <row r="1404" ht="9.75">
      <c r="F1404" s="99"/>
    </row>
    <row r="1405" ht="9.75">
      <c r="F1405" s="99"/>
    </row>
    <row r="1406" ht="9.75">
      <c r="F1406" s="99"/>
    </row>
    <row r="1407" ht="9.75">
      <c r="F1407" s="99"/>
    </row>
    <row r="1408" ht="9.75">
      <c r="F1408" s="99"/>
    </row>
    <row r="1409" ht="9.75">
      <c r="F1409" s="99"/>
    </row>
    <row r="1410" ht="9.75">
      <c r="F1410" s="99"/>
    </row>
    <row r="1411" ht="9.75">
      <c r="F1411" s="99"/>
    </row>
    <row r="1412" ht="9.75">
      <c r="F1412" s="99"/>
    </row>
    <row r="1413" ht="9.75">
      <c r="F1413" s="99"/>
    </row>
    <row r="1414" ht="9.75">
      <c r="F1414" s="99"/>
    </row>
    <row r="1415" ht="9.75">
      <c r="F1415" s="99"/>
    </row>
    <row r="1416" ht="9.75">
      <c r="F1416" s="99"/>
    </row>
    <row r="1417" ht="9.75">
      <c r="F1417" s="99"/>
    </row>
    <row r="1418" ht="9.75">
      <c r="F1418" s="99"/>
    </row>
    <row r="1419" ht="9.75">
      <c r="F1419" s="99"/>
    </row>
    <row r="1420" ht="9.75">
      <c r="F1420" s="99"/>
    </row>
    <row r="1421" ht="9.75">
      <c r="F1421" s="99"/>
    </row>
    <row r="1422" ht="9.75">
      <c r="F1422" s="99"/>
    </row>
    <row r="1423" ht="9.75">
      <c r="F1423" s="99"/>
    </row>
    <row r="1424" ht="9.75">
      <c r="F1424" s="99"/>
    </row>
    <row r="1425" ht="9.75">
      <c r="F1425" s="99"/>
    </row>
    <row r="1426" ht="9.75">
      <c r="F1426" s="99"/>
    </row>
    <row r="1427" ht="9.75">
      <c r="F1427" s="99"/>
    </row>
    <row r="1428" ht="9.75">
      <c r="F1428" s="99"/>
    </row>
    <row r="1429" ht="9.75">
      <c r="F1429" s="99"/>
    </row>
    <row r="1430" ht="9.75">
      <c r="F1430" s="99"/>
    </row>
    <row r="1431" ht="9.75">
      <c r="F1431" s="99"/>
    </row>
    <row r="1432" ht="9.75">
      <c r="F1432" s="99"/>
    </row>
    <row r="1433" ht="9.75">
      <c r="F1433" s="99"/>
    </row>
    <row r="1434" ht="9.75">
      <c r="F1434" s="99"/>
    </row>
    <row r="1435" ht="9.75">
      <c r="F1435" s="99"/>
    </row>
    <row r="1436" ht="9.75">
      <c r="F1436" s="99"/>
    </row>
    <row r="1437" ht="9.75">
      <c r="F1437" s="99"/>
    </row>
    <row r="1438" ht="9.75">
      <c r="F1438" s="99"/>
    </row>
    <row r="1439" ht="9.75">
      <c r="F1439" s="99"/>
    </row>
    <row r="1440" ht="9.75">
      <c r="F1440" s="99"/>
    </row>
    <row r="1441" ht="9.75">
      <c r="F1441" s="99"/>
    </row>
    <row r="1442" ht="9.75">
      <c r="F1442" s="99"/>
    </row>
    <row r="1443" ht="9.75">
      <c r="F1443" s="99"/>
    </row>
    <row r="1444" ht="9.75">
      <c r="F1444" s="99"/>
    </row>
    <row r="1445" ht="9.75">
      <c r="F1445" s="99"/>
    </row>
    <row r="1446" ht="9.75">
      <c r="F1446" s="99"/>
    </row>
    <row r="1447" ht="9.75">
      <c r="F1447" s="99"/>
    </row>
    <row r="1448" ht="9.75">
      <c r="F1448" s="99"/>
    </row>
    <row r="1449" ht="9.75">
      <c r="F1449" s="99"/>
    </row>
    <row r="1450" ht="9.75">
      <c r="F1450" s="99"/>
    </row>
    <row r="1451" ht="9.75">
      <c r="F1451" s="99"/>
    </row>
    <row r="1452" ht="9.75">
      <c r="F1452" s="99"/>
    </row>
    <row r="1453" ht="9.75">
      <c r="F1453" s="99"/>
    </row>
    <row r="1454" ht="9.75">
      <c r="F1454" s="99"/>
    </row>
    <row r="1455" ht="9.75">
      <c r="F1455" s="99"/>
    </row>
    <row r="1456" ht="9.75">
      <c r="F1456" s="99"/>
    </row>
    <row r="1457" ht="9.75">
      <c r="F1457" s="99"/>
    </row>
    <row r="1458" ht="9.75">
      <c r="F1458" s="99"/>
    </row>
    <row r="1459" ht="9.75">
      <c r="F1459" s="99"/>
    </row>
    <row r="1460" ht="9.75">
      <c r="F1460" s="99"/>
    </row>
    <row r="1461" ht="9.75">
      <c r="F1461" s="99"/>
    </row>
    <row r="1462" ht="9.75">
      <c r="F1462" s="99"/>
    </row>
    <row r="1463" ht="9.75">
      <c r="F1463" s="99"/>
    </row>
    <row r="1464" ht="9.75">
      <c r="F1464" s="99"/>
    </row>
    <row r="1465" ht="9.75">
      <c r="F1465" s="99"/>
    </row>
    <row r="1466" ht="9.75">
      <c r="F1466" s="99"/>
    </row>
    <row r="1467" ht="9.75">
      <c r="F1467" s="99"/>
    </row>
    <row r="1468" ht="9.75">
      <c r="F1468" s="99"/>
    </row>
    <row r="1469" ht="9.75">
      <c r="F1469" s="99"/>
    </row>
    <row r="1470" ht="9.75">
      <c r="F1470" s="99"/>
    </row>
    <row r="1471" ht="9.75">
      <c r="F1471" s="99"/>
    </row>
    <row r="1472" ht="9.75">
      <c r="F1472" s="99"/>
    </row>
    <row r="1473" ht="9.75">
      <c r="F1473" s="99"/>
    </row>
    <row r="1474" ht="9.75">
      <c r="F1474" s="99"/>
    </row>
    <row r="1475" ht="9.75">
      <c r="F1475" s="99"/>
    </row>
    <row r="1476" ht="9.75">
      <c r="F1476" s="99"/>
    </row>
    <row r="1477" ht="9.75">
      <c r="F1477" s="99"/>
    </row>
    <row r="1478" ht="9.75">
      <c r="F1478" s="99"/>
    </row>
    <row r="1479" ht="9.75">
      <c r="F1479" s="99"/>
    </row>
    <row r="1480" ht="9.75">
      <c r="F1480" s="99"/>
    </row>
    <row r="1481" ht="9.75">
      <c r="F1481" s="99"/>
    </row>
    <row r="1482" ht="9.75">
      <c r="F1482" s="99"/>
    </row>
    <row r="1483" ht="9.75">
      <c r="F1483" s="99"/>
    </row>
    <row r="1484" ht="9.75">
      <c r="F1484" s="99"/>
    </row>
    <row r="1485" ht="9.75">
      <c r="F1485" s="99"/>
    </row>
    <row r="1486" ht="9.75">
      <c r="F1486" s="99"/>
    </row>
    <row r="1487" ht="9.75">
      <c r="F1487" s="99"/>
    </row>
    <row r="1488" ht="9.75">
      <c r="F1488" s="99"/>
    </row>
    <row r="1489" ht="9.75">
      <c r="F1489" s="99"/>
    </row>
    <row r="1490" ht="9.75">
      <c r="F1490" s="99"/>
    </row>
    <row r="1491" ht="9.75">
      <c r="F1491" s="99"/>
    </row>
    <row r="1492" ht="9.75">
      <c r="F1492" s="99"/>
    </row>
    <row r="1493" ht="9.75">
      <c r="F1493" s="99"/>
    </row>
    <row r="1494" ht="9.75">
      <c r="F1494" s="99"/>
    </row>
    <row r="1495" ht="9.75">
      <c r="F1495" s="99"/>
    </row>
    <row r="1496" ht="9.75">
      <c r="F1496" s="99"/>
    </row>
    <row r="1497" ht="9.75">
      <c r="F1497" s="99"/>
    </row>
    <row r="1498" ht="9.75">
      <c r="F1498" s="99"/>
    </row>
    <row r="1499" ht="9.75">
      <c r="F1499" s="99"/>
    </row>
    <row r="1500" ht="9.75">
      <c r="F1500" s="99"/>
    </row>
    <row r="1501" ht="9.75">
      <c r="F1501" s="99"/>
    </row>
    <row r="1502" ht="9.75">
      <c r="F1502" s="99"/>
    </row>
    <row r="1503" ht="9.75">
      <c r="F1503" s="99"/>
    </row>
    <row r="1504" ht="9.75">
      <c r="F1504" s="99"/>
    </row>
    <row r="1505" ht="9.75">
      <c r="F1505" s="99"/>
    </row>
    <row r="1506" ht="9.75">
      <c r="F1506" s="99"/>
    </row>
    <row r="1507" ht="9.75">
      <c r="F1507" s="99"/>
    </row>
    <row r="1508" ht="9.75">
      <c r="F1508" s="99"/>
    </row>
    <row r="1509" ht="9.75">
      <c r="F1509" s="99"/>
    </row>
    <row r="1510" ht="9.75">
      <c r="F1510" s="99"/>
    </row>
    <row r="1511" ht="9.75">
      <c r="F1511" s="99"/>
    </row>
    <row r="1512" ht="9.75">
      <c r="F1512" s="99"/>
    </row>
    <row r="1513" ht="9.75">
      <c r="F1513" s="99"/>
    </row>
    <row r="1514" ht="9.75">
      <c r="F1514" s="99"/>
    </row>
    <row r="1515" ht="9.75">
      <c r="F1515" s="99"/>
    </row>
    <row r="1516" ht="9.75">
      <c r="F1516" s="99"/>
    </row>
    <row r="1517" ht="9.75">
      <c r="F1517" s="99"/>
    </row>
    <row r="1518" ht="9.75">
      <c r="F1518" s="99"/>
    </row>
    <row r="1519" ht="9.75">
      <c r="F1519" s="99"/>
    </row>
    <row r="1520" ht="9.75">
      <c r="F1520" s="99"/>
    </row>
    <row r="1521" ht="9.75">
      <c r="F1521" s="99"/>
    </row>
    <row r="1522" ht="9.75">
      <c r="F1522" s="99"/>
    </row>
    <row r="1523" ht="9.75">
      <c r="F1523" s="99"/>
    </row>
    <row r="1524" ht="9.75">
      <c r="F1524" s="99"/>
    </row>
    <row r="1525" ht="9.75">
      <c r="F1525" s="99"/>
    </row>
    <row r="1526" ht="9.75">
      <c r="F1526" s="99"/>
    </row>
    <row r="1527" ht="9.75">
      <c r="F1527" s="99"/>
    </row>
    <row r="1528" ht="9.75">
      <c r="F1528" s="99"/>
    </row>
    <row r="1529" ht="9.75">
      <c r="F1529" s="99"/>
    </row>
    <row r="1530" ht="9.75">
      <c r="F1530" s="99"/>
    </row>
    <row r="1531" ht="9.75">
      <c r="F1531" s="99"/>
    </row>
    <row r="1532" ht="9.75">
      <c r="F1532" s="99"/>
    </row>
    <row r="1533" ht="9.75">
      <c r="F1533" s="99"/>
    </row>
    <row r="1534" ht="9.75">
      <c r="F1534" s="99"/>
    </row>
    <row r="1535" ht="9.75">
      <c r="F1535" s="99"/>
    </row>
    <row r="1536" ht="9.75">
      <c r="F1536" s="99"/>
    </row>
    <row r="1537" ht="9.75">
      <c r="F1537" s="99"/>
    </row>
    <row r="1538" ht="9.75">
      <c r="F1538" s="99"/>
    </row>
    <row r="1539" ht="9.75">
      <c r="F1539" s="99"/>
    </row>
    <row r="1540" ht="9.75">
      <c r="F1540" s="99"/>
    </row>
    <row r="1541" ht="9.75">
      <c r="F1541" s="99"/>
    </row>
    <row r="1542" ht="9.75">
      <c r="F1542" s="99"/>
    </row>
    <row r="1543" ht="9.75">
      <c r="F1543" s="99"/>
    </row>
    <row r="1544" ht="9.75">
      <c r="F1544" s="99"/>
    </row>
    <row r="1545" ht="9.75">
      <c r="F1545" s="99"/>
    </row>
    <row r="1546" ht="9.75">
      <c r="F1546" s="99"/>
    </row>
    <row r="1547" ht="9.75">
      <c r="F1547" s="99"/>
    </row>
    <row r="1548" ht="9.75">
      <c r="F1548" s="99"/>
    </row>
    <row r="1549" ht="9.75">
      <c r="F1549" s="99"/>
    </row>
    <row r="1550" ht="9.75">
      <c r="F1550" s="99"/>
    </row>
    <row r="1551" ht="9.75">
      <c r="F1551" s="99"/>
    </row>
    <row r="1552" ht="9.75">
      <c r="F1552" s="99"/>
    </row>
    <row r="1553" ht="9.75">
      <c r="F1553" s="99"/>
    </row>
    <row r="1554" ht="9.75">
      <c r="F1554" s="99"/>
    </row>
    <row r="1555" ht="9.75">
      <c r="F1555" s="99"/>
    </row>
    <row r="1556" ht="9.75">
      <c r="F1556" s="99"/>
    </row>
    <row r="1557" ht="9.75">
      <c r="F1557" s="99"/>
    </row>
    <row r="1558" ht="9.75">
      <c r="F1558" s="99"/>
    </row>
    <row r="1559" ht="9.75">
      <c r="F1559" s="99"/>
    </row>
    <row r="1560" ht="9.75">
      <c r="F1560" s="99"/>
    </row>
    <row r="1561" ht="9.75">
      <c r="F1561" s="99"/>
    </row>
    <row r="1562" ht="9.75">
      <c r="F1562" s="99"/>
    </row>
    <row r="1563" ht="9.75">
      <c r="F1563" s="99"/>
    </row>
    <row r="1564" ht="9.75">
      <c r="F1564" s="99"/>
    </row>
    <row r="1565" ht="9.75">
      <c r="F1565" s="99"/>
    </row>
    <row r="1566" ht="9.75">
      <c r="F1566" s="99"/>
    </row>
    <row r="1567" ht="9.75">
      <c r="F1567" s="99"/>
    </row>
    <row r="1568" ht="9.75">
      <c r="F1568" s="99"/>
    </row>
    <row r="1569" ht="9.75">
      <c r="F1569" s="99"/>
    </row>
    <row r="1570" ht="9.75">
      <c r="F1570" s="99"/>
    </row>
    <row r="1571" ht="9.75">
      <c r="F1571" s="99"/>
    </row>
    <row r="1572" ht="9.75">
      <c r="F1572" s="99"/>
    </row>
    <row r="1573" ht="9.75">
      <c r="F1573" s="99"/>
    </row>
    <row r="1574" ht="9.75">
      <c r="F1574" s="99"/>
    </row>
    <row r="1575" ht="9.75">
      <c r="F1575" s="99"/>
    </row>
    <row r="1576" ht="9.75">
      <c r="F1576" s="99"/>
    </row>
    <row r="1577" ht="9.75">
      <c r="F1577" s="99"/>
    </row>
    <row r="1578" ht="9.75">
      <c r="F1578" s="99"/>
    </row>
    <row r="1579" ht="9.75">
      <c r="F1579" s="99"/>
    </row>
    <row r="1580" ht="9.75">
      <c r="F1580" s="99"/>
    </row>
    <row r="1581" ht="9.75">
      <c r="F1581" s="99"/>
    </row>
    <row r="1582" ht="9.75">
      <c r="F1582" s="99"/>
    </row>
    <row r="1583" ht="9.75">
      <c r="F1583" s="99"/>
    </row>
    <row r="1584" ht="9.75">
      <c r="F1584" s="99"/>
    </row>
    <row r="1585" ht="9.75">
      <c r="F1585" s="99"/>
    </row>
    <row r="1586" ht="9.75">
      <c r="F1586" s="99"/>
    </row>
    <row r="1587" ht="9.75">
      <c r="F1587" s="99"/>
    </row>
    <row r="1588" ht="9.75">
      <c r="F1588" s="99"/>
    </row>
    <row r="1589" ht="9.75">
      <c r="F1589" s="99"/>
    </row>
    <row r="1590" ht="9.75">
      <c r="F1590" s="99"/>
    </row>
    <row r="1591" ht="9.75">
      <c r="F1591" s="99"/>
    </row>
    <row r="1592" ht="9.75">
      <c r="F1592" s="99"/>
    </row>
    <row r="1593" ht="9.75">
      <c r="F1593" s="99"/>
    </row>
    <row r="1594" ht="9.75">
      <c r="F1594" s="99"/>
    </row>
    <row r="1595" ht="9.75">
      <c r="F1595" s="99"/>
    </row>
    <row r="1596" ht="9.75">
      <c r="F1596" s="99"/>
    </row>
    <row r="1597" ht="9.75">
      <c r="F1597" s="99"/>
    </row>
    <row r="1598" ht="9.75">
      <c r="F1598" s="99"/>
    </row>
    <row r="1599" ht="9.75">
      <c r="F1599" s="99"/>
    </row>
    <row r="1600" ht="9.75">
      <c r="F1600" s="99"/>
    </row>
    <row r="1601" ht="9.75">
      <c r="F1601" s="99"/>
    </row>
    <row r="1602" ht="9.75">
      <c r="F1602" s="99"/>
    </row>
    <row r="1603" ht="9.75">
      <c r="F1603" s="99"/>
    </row>
    <row r="1604" ht="9.75">
      <c r="F1604" s="99"/>
    </row>
    <row r="1605" ht="9.75">
      <c r="F1605" s="99"/>
    </row>
    <row r="1606" ht="9.75">
      <c r="F1606" s="99"/>
    </row>
    <row r="1607" ht="9.75">
      <c r="F1607" s="99"/>
    </row>
    <row r="1608" ht="9.75">
      <c r="F1608" s="99"/>
    </row>
    <row r="1609" ht="9.75">
      <c r="F1609" s="99"/>
    </row>
    <row r="1610" ht="9.75">
      <c r="F1610" s="99"/>
    </row>
    <row r="1611" ht="9.75">
      <c r="F1611" s="99"/>
    </row>
    <row r="1612" ht="9.75">
      <c r="F1612" s="99"/>
    </row>
    <row r="1613" ht="9.75">
      <c r="F1613" s="99"/>
    </row>
    <row r="1614" ht="9.75">
      <c r="F1614" s="99"/>
    </row>
    <row r="1615" ht="9.75">
      <c r="F1615" s="99"/>
    </row>
    <row r="1616" ht="9.75">
      <c r="F1616" s="99"/>
    </row>
    <row r="1617" ht="9.75">
      <c r="F1617" s="99"/>
    </row>
    <row r="1618" ht="9.75">
      <c r="F1618" s="99"/>
    </row>
    <row r="1619" ht="9.75">
      <c r="F1619" s="99"/>
    </row>
    <row r="1620" ht="9.75">
      <c r="F1620" s="99"/>
    </row>
    <row r="1621" ht="9.75">
      <c r="F1621" s="99"/>
    </row>
    <row r="1622" ht="9.75">
      <c r="F1622" s="99"/>
    </row>
    <row r="1623" ht="9.75">
      <c r="F1623" s="99"/>
    </row>
    <row r="1624" ht="9.75">
      <c r="F1624" s="99"/>
    </row>
    <row r="1625" ht="9.75">
      <c r="F1625" s="99"/>
    </row>
    <row r="1626" ht="9.75">
      <c r="F1626" s="99"/>
    </row>
    <row r="1627" ht="9.75">
      <c r="F1627" s="99"/>
    </row>
    <row r="1628" ht="9.75">
      <c r="F1628" s="99"/>
    </row>
    <row r="1629" ht="9.75">
      <c r="F1629" s="99"/>
    </row>
    <row r="1630" ht="9.75">
      <c r="F1630" s="99"/>
    </row>
    <row r="1631" ht="9.75">
      <c r="F1631" s="99"/>
    </row>
    <row r="1632" ht="9.75">
      <c r="F1632" s="99"/>
    </row>
    <row r="1633" ht="9.75">
      <c r="F1633" s="99"/>
    </row>
    <row r="1634" ht="9.75">
      <c r="F1634" s="99"/>
    </row>
    <row r="1635" ht="9.75">
      <c r="F1635" s="99"/>
    </row>
    <row r="1636" ht="9.75">
      <c r="F1636" s="99"/>
    </row>
    <row r="1637" ht="9.75">
      <c r="F1637" s="99"/>
    </row>
    <row r="1638" ht="9.75">
      <c r="F1638" s="99"/>
    </row>
    <row r="1639" ht="9.75">
      <c r="F1639" s="99"/>
    </row>
    <row r="1640" ht="9.75">
      <c r="F1640" s="99"/>
    </row>
    <row r="1641" ht="9.75">
      <c r="F1641" s="99"/>
    </row>
    <row r="1642" ht="9.75">
      <c r="F1642" s="99"/>
    </row>
    <row r="1643" ht="9.75">
      <c r="F1643" s="99"/>
    </row>
    <row r="1644" ht="9.75">
      <c r="F1644" s="99"/>
    </row>
    <row r="1645" ht="9.75">
      <c r="F1645" s="99"/>
    </row>
    <row r="1646" ht="9.75">
      <c r="F1646" s="99"/>
    </row>
    <row r="1647" ht="9.75">
      <c r="F1647" s="99"/>
    </row>
    <row r="1648" ht="9.75">
      <c r="F1648" s="99"/>
    </row>
    <row r="1649" ht="9.75">
      <c r="F1649" s="99"/>
    </row>
    <row r="1650" ht="9.75">
      <c r="F1650" s="99"/>
    </row>
    <row r="1651" ht="9.75">
      <c r="F1651" s="99"/>
    </row>
    <row r="1652" ht="9.75">
      <c r="F1652" s="99"/>
    </row>
    <row r="1653" ht="9.75">
      <c r="F1653" s="99"/>
    </row>
    <row r="1654" ht="9.75">
      <c r="F1654" s="99"/>
    </row>
    <row r="1655" ht="9.75">
      <c r="F1655" s="99"/>
    </row>
    <row r="1656" ht="9.75">
      <c r="F1656" s="99"/>
    </row>
    <row r="1657" ht="9.75">
      <c r="F1657" s="99"/>
    </row>
    <row r="1658" ht="9.75">
      <c r="F1658" s="99"/>
    </row>
    <row r="1659" ht="9.75">
      <c r="F1659" s="99"/>
    </row>
    <row r="1660" ht="9.75">
      <c r="F1660" s="99"/>
    </row>
    <row r="1661" ht="9.75">
      <c r="F1661" s="99"/>
    </row>
    <row r="1662" ht="9.75">
      <c r="F1662" s="99"/>
    </row>
    <row r="1663" ht="9.75">
      <c r="F1663" s="99"/>
    </row>
    <row r="1664" ht="9.75">
      <c r="F1664" s="99"/>
    </row>
    <row r="1665" ht="9.75">
      <c r="F1665" s="99"/>
    </row>
    <row r="1666" ht="9.75">
      <c r="F1666" s="99"/>
    </row>
    <row r="1667" ht="9.75">
      <c r="F1667" s="99"/>
    </row>
    <row r="1668" ht="9.75">
      <c r="F1668" s="99"/>
    </row>
    <row r="1669" ht="9.75">
      <c r="F1669" s="99"/>
    </row>
    <row r="1670" ht="9.75">
      <c r="F1670" s="99"/>
    </row>
    <row r="1671" ht="9.75">
      <c r="F1671" s="99"/>
    </row>
    <row r="1672" ht="9.75">
      <c r="F1672" s="99"/>
    </row>
    <row r="1673" ht="9.75">
      <c r="F1673" s="99"/>
    </row>
    <row r="1674" ht="9.75">
      <c r="F1674" s="99"/>
    </row>
    <row r="1675" ht="9.75">
      <c r="F1675" s="99"/>
    </row>
    <row r="1676" ht="9.75">
      <c r="F1676" s="99"/>
    </row>
    <row r="1677" ht="9.75">
      <c r="F1677" s="99"/>
    </row>
    <row r="1678" ht="9.75">
      <c r="F1678" s="99"/>
    </row>
    <row r="1679" ht="9.75">
      <c r="F1679" s="99"/>
    </row>
    <row r="1680" ht="9.75">
      <c r="F1680" s="99"/>
    </row>
    <row r="1681" ht="9.75">
      <c r="F1681" s="99"/>
    </row>
    <row r="1682" ht="9.75">
      <c r="F1682" s="99"/>
    </row>
    <row r="1683" ht="9.75">
      <c r="F1683" s="99"/>
    </row>
    <row r="1684" ht="9.75">
      <c r="F1684" s="99"/>
    </row>
    <row r="1685" ht="9.75">
      <c r="F1685" s="99"/>
    </row>
    <row r="1686" ht="9.75">
      <c r="F1686" s="99"/>
    </row>
    <row r="1687" ht="9.75">
      <c r="F1687" s="99"/>
    </row>
    <row r="1688" ht="9.75">
      <c r="F1688" s="99"/>
    </row>
    <row r="1689" ht="9.75">
      <c r="F1689" s="99"/>
    </row>
    <row r="1690" ht="9.75">
      <c r="F1690" s="99"/>
    </row>
    <row r="1691" ht="9.75">
      <c r="F1691" s="99"/>
    </row>
    <row r="1692" ht="9.75">
      <c r="F1692" s="99"/>
    </row>
    <row r="1693" ht="9.75">
      <c r="F1693" s="99"/>
    </row>
    <row r="1694" ht="9.75">
      <c r="F1694" s="99"/>
    </row>
    <row r="1695" ht="9.75">
      <c r="F1695" s="99"/>
    </row>
    <row r="1696" ht="9.75">
      <c r="F1696" s="99"/>
    </row>
    <row r="1697" ht="9.75">
      <c r="F1697" s="99"/>
    </row>
    <row r="1698" ht="9.75">
      <c r="F1698" s="99"/>
    </row>
    <row r="1699" ht="9.75">
      <c r="F1699" s="99"/>
    </row>
    <row r="1700" ht="9.75">
      <c r="F1700" s="99"/>
    </row>
    <row r="1701" ht="9.75">
      <c r="F1701" s="99"/>
    </row>
    <row r="1702" ht="9.75">
      <c r="F1702" s="99"/>
    </row>
    <row r="1703" ht="9.75">
      <c r="F1703" s="99"/>
    </row>
    <row r="1704" ht="9.75">
      <c r="F1704" s="99"/>
    </row>
    <row r="1705" ht="9.75">
      <c r="F1705" s="99"/>
    </row>
    <row r="1706" ht="9.75">
      <c r="F1706" s="99"/>
    </row>
    <row r="1707" ht="9.75">
      <c r="F1707" s="99"/>
    </row>
    <row r="1708" ht="9.75">
      <c r="F1708" s="99"/>
    </row>
    <row r="1709" ht="9.75">
      <c r="F1709" s="99"/>
    </row>
    <row r="1710" ht="9.75">
      <c r="F1710" s="99"/>
    </row>
    <row r="1711" ht="9.75">
      <c r="F1711" s="99"/>
    </row>
    <row r="1712" ht="9.75">
      <c r="F1712" s="99"/>
    </row>
    <row r="1713" ht="9.75">
      <c r="F1713" s="99"/>
    </row>
    <row r="1714" ht="9.75">
      <c r="F1714" s="99"/>
    </row>
    <row r="1715" ht="9.75">
      <c r="F1715" s="99"/>
    </row>
    <row r="1716" ht="9.75">
      <c r="F1716" s="99"/>
    </row>
    <row r="1717" ht="9.75">
      <c r="F1717" s="99"/>
    </row>
    <row r="1718" ht="9.75">
      <c r="F1718" s="99"/>
    </row>
    <row r="1719" ht="9.75">
      <c r="F1719" s="99"/>
    </row>
    <row r="1720" ht="9.75">
      <c r="F1720" s="99"/>
    </row>
    <row r="1721" ht="9.75">
      <c r="F1721" s="99"/>
    </row>
    <row r="1722" ht="9.75">
      <c r="F1722" s="99"/>
    </row>
    <row r="1723" ht="9.75">
      <c r="F1723" s="99"/>
    </row>
    <row r="1724" ht="9.75">
      <c r="F1724" s="99"/>
    </row>
    <row r="1725" ht="9.75">
      <c r="F1725" s="99"/>
    </row>
    <row r="1726" ht="9.75">
      <c r="F1726" s="99"/>
    </row>
    <row r="1727" ht="9.75">
      <c r="F1727" s="99"/>
    </row>
    <row r="1728" ht="9.75">
      <c r="F1728" s="99"/>
    </row>
    <row r="1729" ht="9.75">
      <c r="F1729" s="99"/>
    </row>
    <row r="1730" ht="9.75">
      <c r="F1730" s="99"/>
    </row>
    <row r="1731" ht="9.75">
      <c r="F1731" s="99"/>
    </row>
    <row r="1732" ht="9.75">
      <c r="F1732" s="99"/>
    </row>
    <row r="1733" ht="9.75">
      <c r="F1733" s="99"/>
    </row>
    <row r="1734" ht="9.75">
      <c r="F1734" s="99"/>
    </row>
    <row r="1735" ht="9.75">
      <c r="F1735" s="99"/>
    </row>
    <row r="1736" ht="9.75">
      <c r="F1736" s="99"/>
    </row>
    <row r="1737" ht="9.75">
      <c r="F1737" s="99"/>
    </row>
    <row r="1738" ht="9.75">
      <c r="F1738" s="99"/>
    </row>
    <row r="1739" ht="9.75">
      <c r="F1739" s="99"/>
    </row>
    <row r="1740" ht="9.75">
      <c r="F1740" s="99"/>
    </row>
    <row r="1741" ht="9.75">
      <c r="F1741" s="99"/>
    </row>
    <row r="1742" ht="9.75">
      <c r="F1742" s="99"/>
    </row>
    <row r="1743" ht="9.75">
      <c r="F1743" s="99"/>
    </row>
    <row r="1744" ht="9.75">
      <c r="F1744" s="99"/>
    </row>
    <row r="1745" ht="9.75">
      <c r="F1745" s="99"/>
    </row>
    <row r="1746" ht="9.75">
      <c r="F1746" s="99"/>
    </row>
    <row r="1747" ht="9.75">
      <c r="F1747" s="99"/>
    </row>
    <row r="1748" ht="9.75">
      <c r="F1748" s="99"/>
    </row>
    <row r="1749" ht="9.75">
      <c r="F1749" s="99"/>
    </row>
    <row r="1750" ht="9.75">
      <c r="F1750" s="99"/>
    </row>
    <row r="1751" ht="9.75">
      <c r="F1751" s="99"/>
    </row>
    <row r="1752" ht="9.75">
      <c r="F1752" s="99"/>
    </row>
    <row r="1753" ht="9.75">
      <c r="F1753" s="99"/>
    </row>
    <row r="1754" ht="9.75">
      <c r="F1754" s="99"/>
    </row>
    <row r="1755" ht="9.75">
      <c r="F1755" s="99"/>
    </row>
    <row r="1756" ht="9.75">
      <c r="F1756" s="99"/>
    </row>
    <row r="1757" ht="9.75">
      <c r="F1757" s="99"/>
    </row>
    <row r="1758" ht="9.75">
      <c r="F1758" s="99"/>
    </row>
    <row r="1759" ht="9.75">
      <c r="F1759" s="99"/>
    </row>
    <row r="1760" ht="9.75">
      <c r="F1760" s="99"/>
    </row>
    <row r="1761" ht="9.75">
      <c r="F1761" s="99"/>
    </row>
    <row r="1762" ht="9.75">
      <c r="F1762" s="99"/>
    </row>
    <row r="1763" ht="9.75">
      <c r="F1763" s="99"/>
    </row>
    <row r="1764" ht="9.75">
      <c r="F1764" s="99"/>
    </row>
    <row r="1765" ht="9.75">
      <c r="F1765" s="99"/>
    </row>
    <row r="1766" ht="9.75">
      <c r="F1766" s="99"/>
    </row>
    <row r="1767" ht="9.75">
      <c r="F1767" s="99"/>
    </row>
    <row r="1768" ht="9.75">
      <c r="F1768" s="99"/>
    </row>
    <row r="1769" ht="9.75">
      <c r="F1769" s="99"/>
    </row>
    <row r="1770" ht="9.75">
      <c r="F1770" s="99"/>
    </row>
    <row r="1771" ht="9.75">
      <c r="F1771" s="99"/>
    </row>
    <row r="1772" ht="9.75">
      <c r="F1772" s="99"/>
    </row>
    <row r="1773" ht="9.75">
      <c r="F1773" s="99"/>
    </row>
    <row r="1774" ht="9.75">
      <c r="F1774" s="99"/>
    </row>
    <row r="1775" ht="9.75">
      <c r="F1775" s="99"/>
    </row>
    <row r="1776" ht="9.75">
      <c r="F1776" s="99"/>
    </row>
    <row r="1777" ht="9.75">
      <c r="F1777" s="99"/>
    </row>
    <row r="1778" ht="9.75">
      <c r="F1778" s="99"/>
    </row>
    <row r="1779" ht="9.75">
      <c r="F1779" s="99"/>
    </row>
    <row r="1780" ht="9.75">
      <c r="F1780" s="99"/>
    </row>
    <row r="1781" ht="9.75">
      <c r="F1781" s="99"/>
    </row>
    <row r="1782" ht="9.75">
      <c r="F1782" s="99"/>
    </row>
    <row r="1783" ht="9.75">
      <c r="F1783" s="99"/>
    </row>
    <row r="1784" ht="9.75">
      <c r="F1784" s="99"/>
    </row>
    <row r="1785" ht="9.75">
      <c r="F1785" s="99"/>
    </row>
    <row r="1786" ht="9.75">
      <c r="F1786" s="99"/>
    </row>
    <row r="1787" ht="9.75">
      <c r="F1787" s="99"/>
    </row>
    <row r="1788" ht="9.75">
      <c r="F1788" s="99"/>
    </row>
    <row r="1789" ht="9.75">
      <c r="F1789" s="99"/>
    </row>
    <row r="1790" ht="9.75">
      <c r="F1790" s="99"/>
    </row>
    <row r="1791" ht="9.75">
      <c r="F1791" s="99"/>
    </row>
    <row r="1792" ht="9.75">
      <c r="F1792" s="99"/>
    </row>
    <row r="1793" ht="9.75">
      <c r="F1793" s="99"/>
    </row>
    <row r="1794" ht="9.75">
      <c r="F1794" s="99"/>
    </row>
    <row r="1795" ht="9.75">
      <c r="F1795" s="99"/>
    </row>
    <row r="1796" ht="9.75">
      <c r="F1796" s="99"/>
    </row>
    <row r="1797" ht="9.75">
      <c r="F1797" s="99"/>
    </row>
    <row r="1798" ht="9.75">
      <c r="F1798" s="99"/>
    </row>
    <row r="1799" ht="9.75">
      <c r="F1799" s="99"/>
    </row>
    <row r="1800" ht="9.75">
      <c r="F1800" s="99"/>
    </row>
    <row r="1801" ht="9.75">
      <c r="F1801" s="99"/>
    </row>
    <row r="1802" ht="9.75">
      <c r="F1802" s="99"/>
    </row>
    <row r="1803" ht="9.75">
      <c r="F1803" s="99"/>
    </row>
    <row r="1804" ht="9.75">
      <c r="F1804" s="99"/>
    </row>
    <row r="1805" ht="9.75">
      <c r="F1805" s="99"/>
    </row>
    <row r="1806" ht="9.75">
      <c r="F1806" s="99"/>
    </row>
    <row r="1807" ht="9.75">
      <c r="F1807" s="99"/>
    </row>
    <row r="1808" ht="9.75">
      <c r="F1808" s="99"/>
    </row>
    <row r="1809" ht="9.75">
      <c r="F1809" s="99"/>
    </row>
    <row r="1810" ht="9.75">
      <c r="F1810" s="99"/>
    </row>
    <row r="1811" ht="9.75">
      <c r="F1811" s="99"/>
    </row>
    <row r="1812" ht="9.75">
      <c r="F1812" s="99"/>
    </row>
    <row r="1813" ht="9.75">
      <c r="F1813" s="99"/>
    </row>
    <row r="1814" ht="9.75">
      <c r="F1814" s="99"/>
    </row>
    <row r="1815" ht="9.75">
      <c r="F1815" s="99"/>
    </row>
    <row r="1816" ht="9.75">
      <c r="F1816" s="99"/>
    </row>
    <row r="1817" ht="9.75">
      <c r="F1817" s="99"/>
    </row>
    <row r="1818" ht="9.75">
      <c r="F1818" s="99"/>
    </row>
    <row r="1819" ht="9.75">
      <c r="F1819" s="99"/>
    </row>
    <row r="1820" ht="9.75">
      <c r="F1820" s="99"/>
    </row>
    <row r="1821" ht="9.75">
      <c r="F1821" s="99"/>
    </row>
    <row r="1822" ht="9.75">
      <c r="F1822" s="99"/>
    </row>
    <row r="1823" ht="9.75">
      <c r="F1823" s="99"/>
    </row>
    <row r="1824" ht="9.75">
      <c r="F1824" s="99"/>
    </row>
    <row r="1825" ht="9.75">
      <c r="F1825" s="99"/>
    </row>
    <row r="1826" ht="9.75">
      <c r="F1826" s="99"/>
    </row>
    <row r="1827" ht="9.75">
      <c r="F1827" s="99"/>
    </row>
    <row r="1828" ht="9.75">
      <c r="F1828" s="99"/>
    </row>
    <row r="1829" ht="9.75">
      <c r="F1829" s="99"/>
    </row>
    <row r="1830" ht="9.75">
      <c r="F1830" s="99"/>
    </row>
    <row r="1831" ht="9.75">
      <c r="F1831" s="99"/>
    </row>
    <row r="1832" ht="9.75">
      <c r="F1832" s="99"/>
    </row>
    <row r="1833" ht="9.75">
      <c r="F1833" s="99"/>
    </row>
    <row r="1834" ht="9.75">
      <c r="F1834" s="99"/>
    </row>
    <row r="1835" ht="9.75">
      <c r="F1835" s="99"/>
    </row>
    <row r="1836" ht="9.75">
      <c r="F1836" s="99"/>
    </row>
    <row r="1837" ht="9.75">
      <c r="F1837" s="99"/>
    </row>
    <row r="1838" ht="9.75">
      <c r="F1838" s="99"/>
    </row>
    <row r="1839" ht="9.75">
      <c r="F1839" s="99"/>
    </row>
    <row r="1840" ht="9.75">
      <c r="F1840" s="99"/>
    </row>
    <row r="1841" ht="9.75">
      <c r="F1841" s="99"/>
    </row>
    <row r="1842" ht="9.75">
      <c r="F1842" s="99"/>
    </row>
    <row r="1843" ht="9.75">
      <c r="F1843" s="99"/>
    </row>
    <row r="1844" ht="9.75">
      <c r="F1844" s="99"/>
    </row>
    <row r="1845" ht="9.75">
      <c r="F1845" s="99"/>
    </row>
    <row r="1846" ht="9.75">
      <c r="F1846" s="99"/>
    </row>
    <row r="1847" ht="9.75">
      <c r="F1847" s="99"/>
    </row>
    <row r="1848" ht="9.75">
      <c r="F1848" s="99"/>
    </row>
    <row r="1849" ht="9.75">
      <c r="F1849" s="99"/>
    </row>
    <row r="1850" ht="9.75">
      <c r="F1850" s="99"/>
    </row>
    <row r="1851" ht="9.75">
      <c r="F1851" s="99"/>
    </row>
    <row r="1852" ht="9.75">
      <c r="F1852" s="99"/>
    </row>
    <row r="1853" ht="9.75">
      <c r="F1853" s="99"/>
    </row>
    <row r="1854" ht="9.75">
      <c r="F1854" s="99"/>
    </row>
    <row r="1855" ht="9.75">
      <c r="F1855" s="99"/>
    </row>
    <row r="1856" ht="9.75">
      <c r="F1856" s="99"/>
    </row>
    <row r="1857" ht="9.75">
      <c r="F1857" s="99"/>
    </row>
    <row r="1858" ht="9.75">
      <c r="F1858" s="99"/>
    </row>
    <row r="1859" ht="9.75">
      <c r="F1859" s="99"/>
    </row>
    <row r="1860" ht="9.75">
      <c r="F1860" s="99"/>
    </row>
    <row r="1861" ht="9.75">
      <c r="F1861" s="99"/>
    </row>
    <row r="1862" ht="9.75">
      <c r="F1862" s="99"/>
    </row>
    <row r="1863" ht="9.75">
      <c r="F1863" s="99"/>
    </row>
    <row r="1864" ht="9.75">
      <c r="F1864" s="99"/>
    </row>
    <row r="1865" ht="9.75">
      <c r="F1865" s="99"/>
    </row>
    <row r="1866" ht="9.75">
      <c r="F1866" s="99"/>
    </row>
    <row r="1867" ht="9.75">
      <c r="F1867" s="99"/>
    </row>
    <row r="1868" ht="9.75">
      <c r="F1868" s="99"/>
    </row>
    <row r="1869" ht="9.75">
      <c r="F1869" s="99"/>
    </row>
    <row r="1870" ht="9.75">
      <c r="F1870" s="99"/>
    </row>
    <row r="1871" ht="9.75">
      <c r="F1871" s="99"/>
    </row>
    <row r="1872" ht="9.75">
      <c r="F1872" s="99"/>
    </row>
    <row r="1873" ht="9.75">
      <c r="F1873" s="99"/>
    </row>
    <row r="1874" ht="9.75">
      <c r="F1874" s="99"/>
    </row>
    <row r="1875" ht="9.75">
      <c r="F1875" s="99"/>
    </row>
    <row r="1876" ht="9.75">
      <c r="F1876" s="99"/>
    </row>
    <row r="1877" ht="9.75">
      <c r="F1877" s="99"/>
    </row>
    <row r="1878" ht="9.75">
      <c r="F1878" s="99"/>
    </row>
    <row r="1879" ht="9.75">
      <c r="F1879" s="99"/>
    </row>
    <row r="1880" ht="9.75">
      <c r="F1880" s="99"/>
    </row>
    <row r="1881" ht="9.75">
      <c r="F1881" s="99"/>
    </row>
    <row r="1882" ht="9.75">
      <c r="F1882" s="99"/>
    </row>
    <row r="1883" ht="9.75">
      <c r="F1883" s="99"/>
    </row>
    <row r="1884" ht="9.75">
      <c r="F1884" s="99"/>
    </row>
    <row r="1885" ht="9.75">
      <c r="F1885" s="99"/>
    </row>
    <row r="1886" ht="9.75">
      <c r="F1886" s="99"/>
    </row>
    <row r="1887" ht="9.75">
      <c r="F1887" s="99"/>
    </row>
    <row r="1888" ht="9.75">
      <c r="F1888" s="99"/>
    </row>
    <row r="1889" ht="9.75">
      <c r="F1889" s="99"/>
    </row>
    <row r="1890" ht="9.75">
      <c r="F1890" s="99"/>
    </row>
    <row r="1891" ht="9.75">
      <c r="F1891" s="99"/>
    </row>
    <row r="1892" ht="9.75">
      <c r="F1892" s="99"/>
    </row>
    <row r="1893" ht="9.75">
      <c r="F1893" s="99"/>
    </row>
    <row r="1894" ht="9.75">
      <c r="F1894" s="99"/>
    </row>
    <row r="1895" ht="9.75">
      <c r="F1895" s="99"/>
    </row>
    <row r="1896" ht="9.75">
      <c r="F1896" s="99"/>
    </row>
    <row r="1897" ht="9.75">
      <c r="F1897" s="99"/>
    </row>
    <row r="1898" ht="9.75">
      <c r="F1898" s="99"/>
    </row>
    <row r="1899" ht="9.75">
      <c r="F1899" s="99"/>
    </row>
    <row r="1900" ht="9.75">
      <c r="F1900" s="99"/>
    </row>
    <row r="1901" ht="9.75">
      <c r="F1901" s="99"/>
    </row>
    <row r="1902" ht="9.75">
      <c r="F1902" s="99"/>
    </row>
    <row r="1903" ht="9.75">
      <c r="F1903" s="99"/>
    </row>
    <row r="1904" ht="9.75">
      <c r="F1904" s="99"/>
    </row>
    <row r="1905" ht="9.75">
      <c r="F1905" s="99"/>
    </row>
    <row r="1906" ht="9.75">
      <c r="F1906" s="99"/>
    </row>
    <row r="1907" ht="9.75">
      <c r="F1907" s="99"/>
    </row>
    <row r="1908" ht="9.75">
      <c r="F1908" s="99"/>
    </row>
    <row r="1909" ht="9.75">
      <c r="F1909" s="99"/>
    </row>
    <row r="1910" ht="9.75">
      <c r="F1910" s="99"/>
    </row>
    <row r="1911" ht="9.75">
      <c r="F1911" s="99"/>
    </row>
    <row r="1912" ht="9.75">
      <c r="F1912" s="99"/>
    </row>
    <row r="1913" ht="9.75">
      <c r="F1913" s="99"/>
    </row>
    <row r="1914" ht="9.75">
      <c r="F1914" s="99"/>
    </row>
    <row r="1915" ht="9.75">
      <c r="F1915" s="99"/>
    </row>
    <row r="1916" ht="9.75">
      <c r="F1916" s="99"/>
    </row>
    <row r="1917" ht="9.75">
      <c r="F1917" s="99"/>
    </row>
    <row r="1918" ht="9.75">
      <c r="F1918" s="99"/>
    </row>
    <row r="1919" ht="9.75">
      <c r="F1919" s="99"/>
    </row>
    <row r="1920" ht="9.75">
      <c r="F1920" s="99"/>
    </row>
    <row r="1921" ht="9.75">
      <c r="F1921" s="99"/>
    </row>
    <row r="1922" ht="9.75">
      <c r="F1922" s="99"/>
    </row>
    <row r="1923" ht="9.75">
      <c r="F1923" s="99"/>
    </row>
    <row r="1924" ht="9.75">
      <c r="F1924" s="99"/>
    </row>
    <row r="1925" ht="9.75">
      <c r="F1925" s="99"/>
    </row>
    <row r="1926" ht="9.75">
      <c r="F1926" s="99"/>
    </row>
    <row r="1927" ht="9.75">
      <c r="F1927" s="99"/>
    </row>
    <row r="1928" ht="9.75">
      <c r="F1928" s="99"/>
    </row>
    <row r="1929" ht="9.75">
      <c r="F1929" s="99"/>
    </row>
    <row r="1930" ht="9.75">
      <c r="F1930" s="99"/>
    </row>
    <row r="1931" ht="9.75">
      <c r="F1931" s="99"/>
    </row>
    <row r="1932" ht="9.75">
      <c r="F1932" s="99"/>
    </row>
    <row r="1933" ht="9.75">
      <c r="F1933" s="99"/>
    </row>
    <row r="1934" ht="9.75">
      <c r="F1934" s="99"/>
    </row>
    <row r="1935" ht="9.75">
      <c r="F1935" s="99"/>
    </row>
    <row r="1936" ht="9.75">
      <c r="F1936" s="99"/>
    </row>
    <row r="1937" ht="9.75">
      <c r="F1937" s="99"/>
    </row>
    <row r="1938" ht="9.75">
      <c r="F1938" s="99"/>
    </row>
    <row r="1939" ht="9.75">
      <c r="F1939" s="99"/>
    </row>
    <row r="1940" ht="9.75">
      <c r="F1940" s="99"/>
    </row>
    <row r="1941" ht="9.75">
      <c r="F1941" s="99"/>
    </row>
    <row r="1942" ht="9.75">
      <c r="F1942" s="99"/>
    </row>
    <row r="1943" ht="9.75">
      <c r="F1943" s="99"/>
    </row>
    <row r="1944" ht="9.75">
      <c r="F1944" s="99"/>
    </row>
    <row r="1945" ht="9.75">
      <c r="F1945" s="99"/>
    </row>
    <row r="1946" ht="9.75">
      <c r="F1946" s="99"/>
    </row>
    <row r="1947" ht="9.75">
      <c r="F1947" s="99"/>
    </row>
    <row r="1948" ht="9.75">
      <c r="F1948" s="99"/>
    </row>
    <row r="1949" ht="9.75">
      <c r="F1949" s="99"/>
    </row>
    <row r="1950" ht="9.75">
      <c r="F1950" s="99"/>
    </row>
    <row r="1951" ht="9.75">
      <c r="F1951" s="99"/>
    </row>
    <row r="1952" ht="9.75">
      <c r="F1952" s="99"/>
    </row>
    <row r="1953" ht="9.75">
      <c r="F1953" s="99"/>
    </row>
    <row r="1954" ht="9.75">
      <c r="F1954" s="99"/>
    </row>
    <row r="1955" ht="9.75">
      <c r="F1955" s="99"/>
    </row>
    <row r="1956" ht="9.75">
      <c r="F1956" s="99"/>
    </row>
    <row r="1957" ht="9.75">
      <c r="F1957" s="99"/>
    </row>
    <row r="1958" ht="9.75">
      <c r="F1958" s="99"/>
    </row>
    <row r="1959" ht="9.75">
      <c r="F1959" s="99"/>
    </row>
    <row r="1960" ht="9.75">
      <c r="F1960" s="99"/>
    </row>
    <row r="1961" ht="9.75">
      <c r="F1961" s="99"/>
    </row>
    <row r="1962" ht="9.75">
      <c r="F1962" s="99"/>
    </row>
    <row r="1963" ht="9.75">
      <c r="F1963" s="99"/>
    </row>
    <row r="1964" ht="9.75">
      <c r="F1964" s="99"/>
    </row>
    <row r="1965" ht="9.75">
      <c r="F1965" s="99"/>
    </row>
    <row r="1966" ht="9.75">
      <c r="F1966" s="99"/>
    </row>
    <row r="1967" ht="9.75">
      <c r="F1967" s="99"/>
    </row>
    <row r="1968" ht="9.75">
      <c r="F1968" s="99"/>
    </row>
    <row r="1969" ht="9.75">
      <c r="F1969" s="99"/>
    </row>
    <row r="1970" ht="9.75">
      <c r="F1970" s="99"/>
    </row>
    <row r="1971" ht="9.75">
      <c r="F1971" s="99"/>
    </row>
    <row r="1972" ht="9.75">
      <c r="F1972" s="99"/>
    </row>
    <row r="1973" ht="9.75">
      <c r="F1973" s="99"/>
    </row>
    <row r="1974" ht="9.75">
      <c r="F1974" s="99"/>
    </row>
    <row r="1975" ht="9.75">
      <c r="F1975" s="99"/>
    </row>
    <row r="1976" ht="9.75">
      <c r="F1976" s="99"/>
    </row>
    <row r="1977" ht="9.75">
      <c r="F1977" s="99"/>
    </row>
    <row r="1978" ht="9.75">
      <c r="F1978" s="99"/>
    </row>
    <row r="1979" ht="9.75">
      <c r="F1979" s="99"/>
    </row>
    <row r="1980" ht="9.75">
      <c r="F1980" s="99"/>
    </row>
    <row r="1981" ht="9.75">
      <c r="F1981" s="99"/>
    </row>
    <row r="1982" ht="9.75">
      <c r="F1982" s="99"/>
    </row>
    <row r="1983" ht="9.75">
      <c r="F1983" s="99"/>
    </row>
    <row r="1984" ht="9.75">
      <c r="F1984" s="99"/>
    </row>
    <row r="1985" ht="9.75">
      <c r="F1985" s="99"/>
    </row>
    <row r="1986" ht="9.75">
      <c r="F1986" s="99"/>
    </row>
    <row r="1987" ht="9.75">
      <c r="F1987" s="99"/>
    </row>
    <row r="1988" ht="9.75">
      <c r="F1988" s="99"/>
    </row>
    <row r="1989" ht="9.75">
      <c r="F1989" s="99"/>
    </row>
    <row r="1990" ht="9.75">
      <c r="F1990" s="99"/>
    </row>
    <row r="1991" ht="9.75">
      <c r="F1991" s="99"/>
    </row>
    <row r="1992" ht="9.75">
      <c r="F1992" s="99"/>
    </row>
    <row r="1993" ht="9.75">
      <c r="F1993" s="99"/>
    </row>
    <row r="1994" ht="9.75">
      <c r="F1994" s="99"/>
    </row>
    <row r="1995" ht="9.75">
      <c r="F1995" s="99"/>
    </row>
    <row r="1996" ht="9.75">
      <c r="F1996" s="99"/>
    </row>
    <row r="1997" ht="9.75">
      <c r="F1997" s="99"/>
    </row>
    <row r="1998" ht="9.75">
      <c r="F1998" s="99"/>
    </row>
    <row r="1999" ht="9.75">
      <c r="F1999" s="99"/>
    </row>
    <row r="2000" ht="9.75">
      <c r="F2000" s="99"/>
    </row>
  </sheetData>
  <sheetProtection/>
  <autoFilter ref="A12:B720"/>
  <mergeCells count="6">
    <mergeCell ref="A7:M7"/>
    <mergeCell ref="A9:M9"/>
    <mergeCell ref="A10:B10"/>
    <mergeCell ref="C10:E10"/>
    <mergeCell ref="F10:F11"/>
    <mergeCell ref="G10:M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3" r:id="rId1"/>
  <headerFooter>
    <oddHeader>&amp;C&amp;14&amp;A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00"/>
  <sheetViews>
    <sheetView zoomScalePageLayoutView="0" workbookViewId="0" topLeftCell="A1">
      <pane ySplit="11" topLeftCell="A12" activePane="bottomLeft" state="frozen"/>
      <selection pane="topLeft" activeCell="A53" sqref="A53"/>
      <selection pane="bottomLeft" activeCell="A53" sqref="A53"/>
    </sheetView>
  </sheetViews>
  <sheetFormatPr defaultColWidth="9.33203125" defaultRowHeight="10.5"/>
  <cols>
    <col min="1" max="1" width="8.33203125" style="0" customWidth="1"/>
    <col min="2" max="2" width="26.83203125" style="0" customWidth="1"/>
    <col min="3" max="3" width="14.83203125" style="0" customWidth="1"/>
    <col min="4" max="4" width="49" style="0" customWidth="1"/>
    <col min="5" max="5" width="8.5" style="0" bestFit="1" customWidth="1"/>
    <col min="6" max="6" width="11" style="0" customWidth="1"/>
    <col min="7" max="7" width="7.5" style="0" bestFit="1" customWidth="1"/>
    <col min="8" max="8" width="9" style="0" customWidth="1"/>
    <col min="9" max="9" width="9" style="0" bestFit="1" customWidth="1"/>
    <col min="10" max="10" width="10" style="0" customWidth="1"/>
    <col min="11" max="11" width="8.66015625" style="0" customWidth="1"/>
    <col min="12" max="12" width="8.83203125" style="0" bestFit="1" customWidth="1"/>
    <col min="13" max="13" width="12.5" style="0" customWidth="1"/>
  </cols>
  <sheetData>
    <row r="1" spans="1:13" ht="14.25">
      <c r="A1" s="622" t="s">
        <v>706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3" ht="14.25">
      <c r="A2" s="623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3" spans="1:13" ht="14.25">
      <c r="A3" s="624" t="s">
        <v>707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1:13" ht="14.25">
      <c r="A4" s="624" t="s">
        <v>708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</row>
    <row r="5" spans="1:13" ht="14.25">
      <c r="A5" s="623" t="s">
        <v>709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7" spans="1:13" ht="14.25">
      <c r="A7" s="1170" t="s">
        <v>582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</row>
    <row r="9" spans="1:13" ht="15" thickBot="1">
      <c r="A9" s="1172" t="s">
        <v>583</v>
      </c>
      <c r="B9" s="1171"/>
      <c r="C9" s="1171"/>
      <c r="D9" s="1171"/>
      <c r="E9" s="1171"/>
      <c r="F9" s="1171"/>
      <c r="G9" s="1171"/>
      <c r="H9" s="1171"/>
      <c r="I9" s="1171"/>
      <c r="J9" s="1171"/>
      <c r="K9" s="1171"/>
      <c r="L9" s="1171"/>
      <c r="M9" s="1171"/>
    </row>
    <row r="10" spans="1:13" ht="15" thickBot="1">
      <c r="A10" s="1165" t="s">
        <v>124</v>
      </c>
      <c r="B10" s="1166"/>
      <c r="C10" s="1167" t="s">
        <v>125</v>
      </c>
      <c r="D10" s="1168"/>
      <c r="E10" s="1166"/>
      <c r="F10" s="647" t="s">
        <v>101</v>
      </c>
      <c r="G10" s="1167" t="s">
        <v>584</v>
      </c>
      <c r="H10" s="1168"/>
      <c r="I10" s="1168"/>
      <c r="J10" s="1168"/>
      <c r="K10" s="1168"/>
      <c r="L10" s="1168"/>
      <c r="M10" s="1169"/>
    </row>
    <row r="11" spans="1:13" ht="43.5" thickBot="1">
      <c r="A11" s="635" t="s">
        <v>128</v>
      </c>
      <c r="B11" s="625" t="s">
        <v>129</v>
      </c>
      <c r="C11" s="625" t="s">
        <v>128</v>
      </c>
      <c r="D11" s="625" t="s">
        <v>129</v>
      </c>
      <c r="E11" s="625" t="s">
        <v>102</v>
      </c>
      <c r="F11" s="647" t="s">
        <v>101</v>
      </c>
      <c r="G11" s="625" t="s">
        <v>103</v>
      </c>
      <c r="H11" s="625" t="s">
        <v>104</v>
      </c>
      <c r="I11" s="625" t="s">
        <v>105</v>
      </c>
      <c r="J11" s="625" t="s">
        <v>106</v>
      </c>
      <c r="K11" s="625" t="s">
        <v>5</v>
      </c>
      <c r="L11" s="625" t="s">
        <v>126</v>
      </c>
      <c r="M11" s="636" t="s">
        <v>698</v>
      </c>
    </row>
    <row r="12" spans="1:13" ht="14.25">
      <c r="A12" s="271">
        <v>1100</v>
      </c>
      <c r="B12" s="272" t="s">
        <v>585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</row>
    <row r="13" spans="1:13" ht="14.25">
      <c r="A13" s="274">
        <v>11110</v>
      </c>
      <c r="B13" s="275" t="s">
        <v>117</v>
      </c>
      <c r="C13" s="275" t="s">
        <v>775</v>
      </c>
      <c r="D13" s="275" t="s">
        <v>776</v>
      </c>
      <c r="E13" s="276">
        <v>2.25</v>
      </c>
      <c r="F13" s="276" t="s">
        <v>132</v>
      </c>
      <c r="G13" s="276">
        <v>8</v>
      </c>
      <c r="H13" s="276">
        <v>0</v>
      </c>
      <c r="I13" s="276">
        <v>6</v>
      </c>
      <c r="J13" s="276">
        <v>0</v>
      </c>
      <c r="K13" s="276">
        <v>14</v>
      </c>
      <c r="L13" s="276">
        <v>14</v>
      </c>
      <c r="M13" s="277">
        <v>31.5</v>
      </c>
    </row>
    <row r="14" spans="1:13" ht="14.25">
      <c r="A14" s="278">
        <v>11110</v>
      </c>
      <c r="B14" s="279" t="s">
        <v>117</v>
      </c>
      <c r="C14" s="279" t="s">
        <v>777</v>
      </c>
      <c r="D14" s="279" t="s">
        <v>778</v>
      </c>
      <c r="E14" s="280">
        <v>2.25</v>
      </c>
      <c r="F14" s="280" t="s">
        <v>132</v>
      </c>
      <c r="G14" s="280">
        <v>16</v>
      </c>
      <c r="H14" s="280">
        <v>3</v>
      </c>
      <c r="I14" s="280">
        <v>24</v>
      </c>
      <c r="J14" s="280">
        <v>1</v>
      </c>
      <c r="K14" s="280">
        <v>44</v>
      </c>
      <c r="L14" s="280">
        <v>40.5</v>
      </c>
      <c r="M14" s="281">
        <v>91.13</v>
      </c>
    </row>
    <row r="15" spans="1:13" ht="14.25">
      <c r="A15" s="274">
        <v>11110</v>
      </c>
      <c r="B15" s="275" t="s">
        <v>117</v>
      </c>
      <c r="C15" s="275" t="s">
        <v>779</v>
      </c>
      <c r="D15" s="275" t="s">
        <v>780</v>
      </c>
      <c r="E15" s="276">
        <v>2.25</v>
      </c>
      <c r="F15" s="276" t="s">
        <v>132</v>
      </c>
      <c r="G15" s="276">
        <v>29</v>
      </c>
      <c r="H15" s="276">
        <v>7</v>
      </c>
      <c r="I15" s="276">
        <v>23</v>
      </c>
      <c r="J15" s="276">
        <v>0</v>
      </c>
      <c r="K15" s="276">
        <v>59</v>
      </c>
      <c r="L15" s="276">
        <v>52</v>
      </c>
      <c r="M15" s="277">
        <v>117</v>
      </c>
    </row>
    <row r="16" spans="1:13" ht="14.25">
      <c r="A16" s="278">
        <v>11110</v>
      </c>
      <c r="B16" s="279" t="s">
        <v>117</v>
      </c>
      <c r="C16" s="279" t="s">
        <v>130</v>
      </c>
      <c r="D16" s="279" t="s">
        <v>131</v>
      </c>
      <c r="E16" s="280">
        <v>2.25</v>
      </c>
      <c r="F16" s="280" t="s">
        <v>109</v>
      </c>
      <c r="G16" s="280">
        <v>0</v>
      </c>
      <c r="H16" s="280">
        <v>6</v>
      </c>
      <c r="I16" s="280">
        <v>4</v>
      </c>
      <c r="J16" s="280">
        <v>0</v>
      </c>
      <c r="K16" s="280">
        <v>10</v>
      </c>
      <c r="L16" s="280">
        <v>4</v>
      </c>
      <c r="M16" s="281">
        <v>9</v>
      </c>
    </row>
    <row r="17" spans="1:13" ht="14.25">
      <c r="A17" s="274">
        <v>11110</v>
      </c>
      <c r="B17" s="275" t="s">
        <v>117</v>
      </c>
      <c r="C17" s="275" t="s">
        <v>95</v>
      </c>
      <c r="D17" s="275" t="s">
        <v>18</v>
      </c>
      <c r="E17" s="276">
        <v>2.25</v>
      </c>
      <c r="F17" s="276" t="s">
        <v>132</v>
      </c>
      <c r="G17" s="276">
        <v>18</v>
      </c>
      <c r="H17" s="276">
        <v>3</v>
      </c>
      <c r="I17" s="276">
        <v>21</v>
      </c>
      <c r="J17" s="276">
        <v>0</v>
      </c>
      <c r="K17" s="276">
        <v>42</v>
      </c>
      <c r="L17" s="276">
        <v>39</v>
      </c>
      <c r="M17" s="277">
        <v>87.75</v>
      </c>
    </row>
    <row r="18" spans="1:13" ht="14.25">
      <c r="A18" s="278">
        <v>11110</v>
      </c>
      <c r="B18" s="279" t="s">
        <v>117</v>
      </c>
      <c r="C18" s="279" t="s">
        <v>95</v>
      </c>
      <c r="D18" s="279" t="s">
        <v>18</v>
      </c>
      <c r="E18" s="280">
        <v>2.25</v>
      </c>
      <c r="F18" s="280" t="s">
        <v>109</v>
      </c>
      <c r="G18" s="280">
        <v>0</v>
      </c>
      <c r="H18" s="280">
        <v>51</v>
      </c>
      <c r="I18" s="280">
        <v>243</v>
      </c>
      <c r="J18" s="280">
        <v>11</v>
      </c>
      <c r="K18" s="280">
        <v>305</v>
      </c>
      <c r="L18" s="280">
        <v>248.5</v>
      </c>
      <c r="M18" s="281">
        <v>559.13</v>
      </c>
    </row>
    <row r="19" spans="1:13" ht="14.25">
      <c r="A19" s="274">
        <v>11110</v>
      </c>
      <c r="B19" s="275" t="s">
        <v>117</v>
      </c>
      <c r="C19" s="275" t="s">
        <v>133</v>
      </c>
      <c r="D19" s="275" t="s">
        <v>134</v>
      </c>
      <c r="E19" s="276">
        <v>2.25</v>
      </c>
      <c r="F19" s="276" t="s">
        <v>132</v>
      </c>
      <c r="G19" s="276">
        <v>7</v>
      </c>
      <c r="H19" s="276">
        <v>1</v>
      </c>
      <c r="I19" s="276">
        <v>7</v>
      </c>
      <c r="J19" s="276">
        <v>0</v>
      </c>
      <c r="K19" s="276">
        <v>15</v>
      </c>
      <c r="L19" s="276">
        <v>14</v>
      </c>
      <c r="M19" s="277">
        <v>31.5</v>
      </c>
    </row>
    <row r="20" spans="1:13" ht="14.25">
      <c r="A20" s="278">
        <v>11110</v>
      </c>
      <c r="B20" s="279" t="s">
        <v>117</v>
      </c>
      <c r="C20" s="279" t="s">
        <v>133</v>
      </c>
      <c r="D20" s="279" t="s">
        <v>134</v>
      </c>
      <c r="E20" s="280">
        <v>2.25</v>
      </c>
      <c r="F20" s="280" t="s">
        <v>109</v>
      </c>
      <c r="G20" s="280">
        <v>0</v>
      </c>
      <c r="H20" s="280">
        <v>4</v>
      </c>
      <c r="I20" s="280">
        <v>22</v>
      </c>
      <c r="J20" s="280">
        <v>1</v>
      </c>
      <c r="K20" s="280">
        <v>27</v>
      </c>
      <c r="L20" s="280">
        <v>22.5</v>
      </c>
      <c r="M20" s="281">
        <v>50.63</v>
      </c>
    </row>
    <row r="21" spans="1:13" ht="14.25">
      <c r="A21" s="274">
        <v>11110</v>
      </c>
      <c r="B21" s="275" t="s">
        <v>117</v>
      </c>
      <c r="C21" s="275" t="s">
        <v>781</v>
      </c>
      <c r="D21" s="275" t="s">
        <v>12</v>
      </c>
      <c r="E21" s="276">
        <v>3.5</v>
      </c>
      <c r="F21" s="276" t="s">
        <v>110</v>
      </c>
      <c r="G21" s="276">
        <v>31</v>
      </c>
      <c r="H21" s="276">
        <v>0</v>
      </c>
      <c r="I21" s="276">
        <v>17</v>
      </c>
      <c r="J21" s="276">
        <v>0</v>
      </c>
      <c r="K21" s="276">
        <v>48</v>
      </c>
      <c r="L21" s="276">
        <v>48</v>
      </c>
      <c r="M21" s="277">
        <v>168</v>
      </c>
    </row>
    <row r="22" spans="1:13" ht="14.25">
      <c r="A22" s="278">
        <v>11110</v>
      </c>
      <c r="B22" s="279" t="s">
        <v>117</v>
      </c>
      <c r="C22" s="279" t="s">
        <v>9</v>
      </c>
      <c r="D22" s="279" t="s">
        <v>10</v>
      </c>
      <c r="E22" s="280">
        <v>2.8</v>
      </c>
      <c r="F22" s="280" t="s">
        <v>110</v>
      </c>
      <c r="G22" s="280">
        <v>387</v>
      </c>
      <c r="H22" s="280">
        <v>1</v>
      </c>
      <c r="I22" s="280">
        <v>78</v>
      </c>
      <c r="J22" s="280">
        <v>0</v>
      </c>
      <c r="K22" s="280">
        <v>466</v>
      </c>
      <c r="L22" s="280">
        <v>465</v>
      </c>
      <c r="M22" s="281">
        <v>1302</v>
      </c>
    </row>
    <row r="23" spans="1:13" ht="14.25">
      <c r="A23" s="274">
        <v>11110</v>
      </c>
      <c r="B23" s="275" t="s">
        <v>117</v>
      </c>
      <c r="C23" s="275" t="s">
        <v>9</v>
      </c>
      <c r="D23" s="275" t="s">
        <v>10</v>
      </c>
      <c r="E23" s="276">
        <v>2.8</v>
      </c>
      <c r="F23" s="276" t="s">
        <v>113</v>
      </c>
      <c r="G23" s="276">
        <v>0</v>
      </c>
      <c r="H23" s="276">
        <v>88</v>
      </c>
      <c r="I23" s="276">
        <v>1440</v>
      </c>
      <c r="J23" s="276">
        <v>9</v>
      </c>
      <c r="K23" s="276">
        <v>1537</v>
      </c>
      <c r="L23" s="276">
        <v>1444.5</v>
      </c>
      <c r="M23" s="277">
        <v>4044.6</v>
      </c>
    </row>
    <row r="24" spans="1:13" ht="14.25">
      <c r="A24" s="278">
        <v>11110</v>
      </c>
      <c r="B24" s="279" t="s">
        <v>117</v>
      </c>
      <c r="C24" s="279" t="s">
        <v>11</v>
      </c>
      <c r="D24" s="279" t="s">
        <v>12</v>
      </c>
      <c r="E24" s="280">
        <v>3.5</v>
      </c>
      <c r="F24" s="280" t="s">
        <v>113</v>
      </c>
      <c r="G24" s="280">
        <v>0</v>
      </c>
      <c r="H24" s="280">
        <v>12</v>
      </c>
      <c r="I24" s="280">
        <v>174</v>
      </c>
      <c r="J24" s="280">
        <v>2</v>
      </c>
      <c r="K24" s="280">
        <v>188</v>
      </c>
      <c r="L24" s="280">
        <v>175</v>
      </c>
      <c r="M24" s="281">
        <v>612.5</v>
      </c>
    </row>
    <row r="25" spans="1:13" ht="14.25">
      <c r="A25" s="274">
        <v>11110</v>
      </c>
      <c r="B25" s="275" t="s">
        <v>117</v>
      </c>
      <c r="C25" s="275" t="s">
        <v>782</v>
      </c>
      <c r="D25" s="275" t="s">
        <v>780</v>
      </c>
      <c r="E25" s="276">
        <v>2.25</v>
      </c>
      <c r="F25" s="276" t="s">
        <v>116</v>
      </c>
      <c r="G25" s="276">
        <v>0</v>
      </c>
      <c r="H25" s="276">
        <v>0</v>
      </c>
      <c r="I25" s="276">
        <v>43</v>
      </c>
      <c r="J25" s="276">
        <v>0</v>
      </c>
      <c r="K25" s="276">
        <v>43</v>
      </c>
      <c r="L25" s="276">
        <v>43</v>
      </c>
      <c r="M25" s="277">
        <v>96.75</v>
      </c>
    </row>
    <row r="26" spans="1:13" ht="14.25">
      <c r="A26" s="278">
        <v>11110</v>
      </c>
      <c r="B26" s="279" t="s">
        <v>117</v>
      </c>
      <c r="C26" s="279" t="s">
        <v>98</v>
      </c>
      <c r="D26" s="279" t="s">
        <v>18</v>
      </c>
      <c r="E26" s="280">
        <v>2.25</v>
      </c>
      <c r="F26" s="280" t="s">
        <v>116</v>
      </c>
      <c r="G26" s="280">
        <v>0</v>
      </c>
      <c r="H26" s="280">
        <v>1</v>
      </c>
      <c r="I26" s="280">
        <v>55</v>
      </c>
      <c r="J26" s="280">
        <v>0</v>
      </c>
      <c r="K26" s="280">
        <v>56</v>
      </c>
      <c r="L26" s="280">
        <v>55</v>
      </c>
      <c r="M26" s="281">
        <v>123.75</v>
      </c>
    </row>
    <row r="27" spans="1:13" ht="14.25">
      <c r="A27" s="274">
        <v>11110</v>
      </c>
      <c r="B27" s="275" t="s">
        <v>117</v>
      </c>
      <c r="C27" s="275" t="s">
        <v>98</v>
      </c>
      <c r="D27" s="275" t="s">
        <v>18</v>
      </c>
      <c r="E27" s="276">
        <v>2.25</v>
      </c>
      <c r="F27" s="276" t="s">
        <v>114</v>
      </c>
      <c r="G27" s="276">
        <v>0</v>
      </c>
      <c r="H27" s="276">
        <v>44</v>
      </c>
      <c r="I27" s="276">
        <v>172</v>
      </c>
      <c r="J27" s="276">
        <v>4</v>
      </c>
      <c r="K27" s="276">
        <v>220</v>
      </c>
      <c r="L27" s="276">
        <v>174</v>
      </c>
      <c r="M27" s="277">
        <v>391.5</v>
      </c>
    </row>
    <row r="28" spans="1:13" ht="14.25">
      <c r="A28" s="278">
        <v>11110</v>
      </c>
      <c r="B28" s="279" t="s">
        <v>117</v>
      </c>
      <c r="C28" s="279" t="s">
        <v>783</v>
      </c>
      <c r="D28" s="279" t="s">
        <v>136</v>
      </c>
      <c r="E28" s="280">
        <v>2.8</v>
      </c>
      <c r="F28" s="280" t="s">
        <v>119</v>
      </c>
      <c r="G28" s="280">
        <v>0</v>
      </c>
      <c r="H28" s="280">
        <v>1</v>
      </c>
      <c r="I28" s="280">
        <v>16</v>
      </c>
      <c r="J28" s="280">
        <v>0</v>
      </c>
      <c r="K28" s="280">
        <v>17</v>
      </c>
      <c r="L28" s="280">
        <v>16</v>
      </c>
      <c r="M28" s="281">
        <v>44.8</v>
      </c>
    </row>
    <row r="29" spans="1:13" ht="14.25">
      <c r="A29" s="274">
        <v>11110</v>
      </c>
      <c r="B29" s="275" t="s">
        <v>117</v>
      </c>
      <c r="C29" s="275" t="s">
        <v>784</v>
      </c>
      <c r="D29" s="275" t="s">
        <v>785</v>
      </c>
      <c r="E29" s="276">
        <v>2.8</v>
      </c>
      <c r="F29" s="276" t="s">
        <v>119</v>
      </c>
      <c r="G29" s="276">
        <v>0</v>
      </c>
      <c r="H29" s="276">
        <v>0</v>
      </c>
      <c r="I29" s="276">
        <v>1</v>
      </c>
      <c r="J29" s="276">
        <v>0</v>
      </c>
      <c r="K29" s="276">
        <v>1</v>
      </c>
      <c r="L29" s="276">
        <v>1</v>
      </c>
      <c r="M29" s="277">
        <v>2.8</v>
      </c>
    </row>
    <row r="30" spans="1:13" ht="14.25">
      <c r="A30" s="278">
        <v>11110</v>
      </c>
      <c r="B30" s="279" t="s">
        <v>117</v>
      </c>
      <c r="C30" s="279" t="s">
        <v>135</v>
      </c>
      <c r="D30" s="279" t="s">
        <v>136</v>
      </c>
      <c r="E30" s="280">
        <v>2.8</v>
      </c>
      <c r="F30" s="280" t="s">
        <v>119</v>
      </c>
      <c r="G30" s="280">
        <v>0</v>
      </c>
      <c r="H30" s="280">
        <v>0</v>
      </c>
      <c r="I30" s="280">
        <v>1</v>
      </c>
      <c r="J30" s="280">
        <v>0</v>
      </c>
      <c r="K30" s="280">
        <v>1</v>
      </c>
      <c r="L30" s="280">
        <v>1</v>
      </c>
      <c r="M30" s="281">
        <v>2.8</v>
      </c>
    </row>
    <row r="31" spans="1:13" ht="14.25">
      <c r="A31" s="274">
        <v>11110</v>
      </c>
      <c r="B31" s="275" t="s">
        <v>117</v>
      </c>
      <c r="C31" s="275" t="s">
        <v>135</v>
      </c>
      <c r="D31" s="275" t="s">
        <v>136</v>
      </c>
      <c r="E31" s="276">
        <v>2.8</v>
      </c>
      <c r="F31" s="276" t="s">
        <v>122</v>
      </c>
      <c r="G31" s="276">
        <v>0</v>
      </c>
      <c r="H31" s="276">
        <v>27</v>
      </c>
      <c r="I31" s="276">
        <v>43</v>
      </c>
      <c r="J31" s="276">
        <v>0</v>
      </c>
      <c r="K31" s="276">
        <v>70</v>
      </c>
      <c r="L31" s="276">
        <v>43</v>
      </c>
      <c r="M31" s="277">
        <v>120.4</v>
      </c>
    </row>
    <row r="32" spans="1:13" ht="14.25">
      <c r="A32" s="278">
        <v>11110</v>
      </c>
      <c r="B32" s="279" t="s">
        <v>117</v>
      </c>
      <c r="C32" s="279" t="s">
        <v>75</v>
      </c>
      <c r="D32" s="279" t="s">
        <v>76</v>
      </c>
      <c r="E32" s="280">
        <v>2.8</v>
      </c>
      <c r="F32" s="280" t="s">
        <v>119</v>
      </c>
      <c r="G32" s="280">
        <v>0</v>
      </c>
      <c r="H32" s="280">
        <v>0</v>
      </c>
      <c r="I32" s="280">
        <v>1</v>
      </c>
      <c r="J32" s="280">
        <v>0</v>
      </c>
      <c r="K32" s="280">
        <v>1</v>
      </c>
      <c r="L32" s="280">
        <v>1</v>
      </c>
      <c r="M32" s="281">
        <v>2.8</v>
      </c>
    </row>
    <row r="33" spans="1:13" ht="14.25">
      <c r="A33" s="274">
        <v>11110</v>
      </c>
      <c r="B33" s="275" t="s">
        <v>117</v>
      </c>
      <c r="C33" s="275" t="s">
        <v>75</v>
      </c>
      <c r="D33" s="275" t="s">
        <v>76</v>
      </c>
      <c r="E33" s="276">
        <v>2.8</v>
      </c>
      <c r="F33" s="276" t="s">
        <v>122</v>
      </c>
      <c r="G33" s="276">
        <v>0</v>
      </c>
      <c r="H33" s="276">
        <v>2</v>
      </c>
      <c r="I33" s="276">
        <v>2</v>
      </c>
      <c r="J33" s="276">
        <v>0</v>
      </c>
      <c r="K33" s="276">
        <v>4</v>
      </c>
      <c r="L33" s="276">
        <v>2</v>
      </c>
      <c r="M33" s="277">
        <v>5.6</v>
      </c>
    </row>
    <row r="34" spans="1:13" ht="14.25">
      <c r="A34" s="278">
        <v>11110</v>
      </c>
      <c r="B34" s="279" t="s">
        <v>117</v>
      </c>
      <c r="C34" s="279" t="s">
        <v>137</v>
      </c>
      <c r="D34" s="279" t="s">
        <v>138</v>
      </c>
      <c r="E34" s="280">
        <v>2.25</v>
      </c>
      <c r="F34" s="280" t="s">
        <v>119</v>
      </c>
      <c r="G34" s="280">
        <v>0</v>
      </c>
      <c r="H34" s="280">
        <v>1</v>
      </c>
      <c r="I34" s="280">
        <v>6</v>
      </c>
      <c r="J34" s="280">
        <v>0</v>
      </c>
      <c r="K34" s="280">
        <v>7</v>
      </c>
      <c r="L34" s="280">
        <v>6</v>
      </c>
      <c r="M34" s="281">
        <v>13.5</v>
      </c>
    </row>
    <row r="35" spans="1:13" ht="14.25">
      <c r="A35" s="274">
        <v>11110</v>
      </c>
      <c r="B35" s="275" t="s">
        <v>117</v>
      </c>
      <c r="C35" s="275" t="s">
        <v>137</v>
      </c>
      <c r="D35" s="275" t="s">
        <v>138</v>
      </c>
      <c r="E35" s="276">
        <v>2.25</v>
      </c>
      <c r="F35" s="276" t="s">
        <v>122</v>
      </c>
      <c r="G35" s="276">
        <v>0</v>
      </c>
      <c r="H35" s="276">
        <v>8</v>
      </c>
      <c r="I35" s="276">
        <v>13</v>
      </c>
      <c r="J35" s="276">
        <v>0</v>
      </c>
      <c r="K35" s="276">
        <v>21</v>
      </c>
      <c r="L35" s="276">
        <v>13</v>
      </c>
      <c r="M35" s="277">
        <v>29.25</v>
      </c>
    </row>
    <row r="36" spans="1:13" ht="14.25">
      <c r="A36" s="278">
        <v>11110</v>
      </c>
      <c r="B36" s="279" t="s">
        <v>117</v>
      </c>
      <c r="C36" s="279" t="s">
        <v>139</v>
      </c>
      <c r="D36" s="279" t="s">
        <v>140</v>
      </c>
      <c r="E36" s="280">
        <v>2.25</v>
      </c>
      <c r="F36" s="280" t="s">
        <v>119</v>
      </c>
      <c r="G36" s="280">
        <v>0</v>
      </c>
      <c r="H36" s="280">
        <v>0</v>
      </c>
      <c r="I36" s="280">
        <v>1</v>
      </c>
      <c r="J36" s="280">
        <v>0</v>
      </c>
      <c r="K36" s="280">
        <v>1</v>
      </c>
      <c r="L36" s="280">
        <v>1</v>
      </c>
      <c r="M36" s="281">
        <v>2.25</v>
      </c>
    </row>
    <row r="37" spans="1:13" ht="14.25">
      <c r="A37" s="274">
        <v>11110</v>
      </c>
      <c r="B37" s="275" t="s">
        <v>117</v>
      </c>
      <c r="C37" s="275" t="s">
        <v>139</v>
      </c>
      <c r="D37" s="275" t="s">
        <v>140</v>
      </c>
      <c r="E37" s="276">
        <v>2.25</v>
      </c>
      <c r="F37" s="276" t="s">
        <v>122</v>
      </c>
      <c r="G37" s="276">
        <v>0</v>
      </c>
      <c r="H37" s="276">
        <v>2</v>
      </c>
      <c r="I37" s="276">
        <v>7</v>
      </c>
      <c r="J37" s="276">
        <v>1</v>
      </c>
      <c r="K37" s="276">
        <v>10</v>
      </c>
      <c r="L37" s="276">
        <v>7.5</v>
      </c>
      <c r="M37" s="277">
        <v>16.88</v>
      </c>
    </row>
    <row r="38" spans="1:13" ht="14.25">
      <c r="A38" s="278">
        <v>11110</v>
      </c>
      <c r="B38" s="279" t="s">
        <v>117</v>
      </c>
      <c r="C38" s="279" t="s">
        <v>77</v>
      </c>
      <c r="D38" s="279" t="s">
        <v>78</v>
      </c>
      <c r="E38" s="280">
        <v>2.25</v>
      </c>
      <c r="F38" s="280" t="s">
        <v>119</v>
      </c>
      <c r="G38" s="280">
        <v>0</v>
      </c>
      <c r="H38" s="280">
        <v>0</v>
      </c>
      <c r="I38" s="280">
        <v>2</v>
      </c>
      <c r="J38" s="280">
        <v>0</v>
      </c>
      <c r="K38" s="280">
        <v>2</v>
      </c>
      <c r="L38" s="280">
        <v>2</v>
      </c>
      <c r="M38" s="281">
        <v>4.5</v>
      </c>
    </row>
    <row r="39" spans="1:13" ht="14.25">
      <c r="A39" s="274">
        <v>11110</v>
      </c>
      <c r="B39" s="275" t="s">
        <v>117</v>
      </c>
      <c r="C39" s="275" t="s">
        <v>77</v>
      </c>
      <c r="D39" s="275" t="s">
        <v>78</v>
      </c>
      <c r="E39" s="276">
        <v>2.25</v>
      </c>
      <c r="F39" s="276" t="s">
        <v>122</v>
      </c>
      <c r="G39" s="276">
        <v>0</v>
      </c>
      <c r="H39" s="276">
        <v>22</v>
      </c>
      <c r="I39" s="276">
        <v>27</v>
      </c>
      <c r="J39" s="276">
        <v>0</v>
      </c>
      <c r="K39" s="276">
        <v>49</v>
      </c>
      <c r="L39" s="276">
        <v>27</v>
      </c>
      <c r="M39" s="277">
        <v>60.75</v>
      </c>
    </row>
    <row r="40" spans="1:13" ht="14.25">
      <c r="A40" s="278">
        <v>11110</v>
      </c>
      <c r="B40" s="279" t="s">
        <v>117</v>
      </c>
      <c r="C40" s="279" t="s">
        <v>141</v>
      </c>
      <c r="D40" s="279" t="s">
        <v>142</v>
      </c>
      <c r="E40" s="280">
        <v>2.25</v>
      </c>
      <c r="F40" s="280" t="s">
        <v>122</v>
      </c>
      <c r="G40" s="280">
        <v>0</v>
      </c>
      <c r="H40" s="280">
        <v>1</v>
      </c>
      <c r="I40" s="280">
        <v>1</v>
      </c>
      <c r="J40" s="280">
        <v>0</v>
      </c>
      <c r="K40" s="280">
        <v>2</v>
      </c>
      <c r="L40" s="280">
        <v>1</v>
      </c>
      <c r="M40" s="281">
        <v>2.25</v>
      </c>
    </row>
    <row r="41" spans="1:13" ht="14.25">
      <c r="A41" s="274">
        <v>11110</v>
      </c>
      <c r="B41" s="275" t="s">
        <v>117</v>
      </c>
      <c r="C41" s="275" t="s">
        <v>143</v>
      </c>
      <c r="D41" s="275" t="s">
        <v>144</v>
      </c>
      <c r="E41" s="276">
        <v>2.25</v>
      </c>
      <c r="F41" s="276" t="s">
        <v>122</v>
      </c>
      <c r="G41" s="276">
        <v>0</v>
      </c>
      <c r="H41" s="276">
        <v>2</v>
      </c>
      <c r="I41" s="276">
        <v>3</v>
      </c>
      <c r="J41" s="276">
        <v>0</v>
      </c>
      <c r="K41" s="276">
        <v>5</v>
      </c>
      <c r="L41" s="276">
        <v>3</v>
      </c>
      <c r="M41" s="277">
        <v>6.75</v>
      </c>
    </row>
    <row r="42" spans="1:13" ht="14.25">
      <c r="A42" s="278">
        <v>11110</v>
      </c>
      <c r="B42" s="279" t="s">
        <v>117</v>
      </c>
      <c r="C42" s="279" t="s">
        <v>145</v>
      </c>
      <c r="D42" s="279" t="s">
        <v>146</v>
      </c>
      <c r="E42" s="280">
        <v>1.65</v>
      </c>
      <c r="F42" s="280" t="s">
        <v>119</v>
      </c>
      <c r="G42" s="280">
        <v>0</v>
      </c>
      <c r="H42" s="280">
        <v>2</v>
      </c>
      <c r="I42" s="280">
        <v>3</v>
      </c>
      <c r="J42" s="280">
        <v>0</v>
      </c>
      <c r="K42" s="280">
        <v>5</v>
      </c>
      <c r="L42" s="280">
        <v>3</v>
      </c>
      <c r="M42" s="281">
        <v>4.95</v>
      </c>
    </row>
    <row r="43" spans="1:13" ht="14.25">
      <c r="A43" s="274">
        <v>11110</v>
      </c>
      <c r="B43" s="275" t="s">
        <v>117</v>
      </c>
      <c r="C43" s="275" t="s">
        <v>145</v>
      </c>
      <c r="D43" s="275" t="s">
        <v>146</v>
      </c>
      <c r="E43" s="276">
        <v>1.65</v>
      </c>
      <c r="F43" s="276" t="s">
        <v>122</v>
      </c>
      <c r="G43" s="276">
        <v>0</v>
      </c>
      <c r="H43" s="276">
        <v>9</v>
      </c>
      <c r="I43" s="276">
        <v>7</v>
      </c>
      <c r="J43" s="276">
        <v>0</v>
      </c>
      <c r="K43" s="276">
        <v>16</v>
      </c>
      <c r="L43" s="276">
        <v>7</v>
      </c>
      <c r="M43" s="277">
        <v>11.55</v>
      </c>
    </row>
    <row r="44" spans="1:13" ht="14.25">
      <c r="A44" s="278">
        <v>11110</v>
      </c>
      <c r="B44" s="279" t="s">
        <v>117</v>
      </c>
      <c r="C44" s="279" t="s">
        <v>13</v>
      </c>
      <c r="D44" s="279" t="s">
        <v>14</v>
      </c>
      <c r="E44" s="280">
        <v>2.8</v>
      </c>
      <c r="F44" s="280" t="s">
        <v>119</v>
      </c>
      <c r="G44" s="280">
        <v>0</v>
      </c>
      <c r="H44" s="280">
        <v>5</v>
      </c>
      <c r="I44" s="280">
        <v>18</v>
      </c>
      <c r="J44" s="280">
        <v>0</v>
      </c>
      <c r="K44" s="280">
        <v>23</v>
      </c>
      <c r="L44" s="280">
        <v>18</v>
      </c>
      <c r="M44" s="281">
        <v>50.4</v>
      </c>
    </row>
    <row r="45" spans="1:13" ht="14.25">
      <c r="A45" s="274">
        <v>11110</v>
      </c>
      <c r="B45" s="275" t="s">
        <v>117</v>
      </c>
      <c r="C45" s="275" t="s">
        <v>13</v>
      </c>
      <c r="D45" s="275" t="s">
        <v>14</v>
      </c>
      <c r="E45" s="276">
        <v>2.8</v>
      </c>
      <c r="F45" s="276" t="s">
        <v>122</v>
      </c>
      <c r="G45" s="276">
        <v>0</v>
      </c>
      <c r="H45" s="276">
        <v>60</v>
      </c>
      <c r="I45" s="276">
        <v>58</v>
      </c>
      <c r="J45" s="276">
        <v>0</v>
      </c>
      <c r="K45" s="276">
        <v>118</v>
      </c>
      <c r="L45" s="276">
        <v>58</v>
      </c>
      <c r="M45" s="277">
        <v>162.4</v>
      </c>
    </row>
    <row r="46" spans="1:13" ht="14.25">
      <c r="A46" s="278">
        <v>11110</v>
      </c>
      <c r="B46" s="279" t="s">
        <v>117</v>
      </c>
      <c r="C46" s="279" t="s">
        <v>15</v>
      </c>
      <c r="D46" s="279" t="s">
        <v>16</v>
      </c>
      <c r="E46" s="280">
        <v>2.25</v>
      </c>
      <c r="F46" s="280" t="s">
        <v>119</v>
      </c>
      <c r="G46" s="280">
        <v>0</v>
      </c>
      <c r="H46" s="280">
        <v>4</v>
      </c>
      <c r="I46" s="280">
        <v>24</v>
      </c>
      <c r="J46" s="280">
        <v>1</v>
      </c>
      <c r="K46" s="280">
        <v>29</v>
      </c>
      <c r="L46" s="280">
        <v>24.5</v>
      </c>
      <c r="M46" s="281">
        <v>55.13</v>
      </c>
    </row>
    <row r="47" spans="1:13" ht="14.25">
      <c r="A47" s="274">
        <v>11110</v>
      </c>
      <c r="B47" s="275" t="s">
        <v>117</v>
      </c>
      <c r="C47" s="275" t="s">
        <v>15</v>
      </c>
      <c r="D47" s="275" t="s">
        <v>16</v>
      </c>
      <c r="E47" s="276">
        <v>2.25</v>
      </c>
      <c r="F47" s="276" t="s">
        <v>122</v>
      </c>
      <c r="G47" s="276">
        <v>0</v>
      </c>
      <c r="H47" s="276">
        <v>79</v>
      </c>
      <c r="I47" s="276">
        <v>64</v>
      </c>
      <c r="J47" s="276">
        <v>0</v>
      </c>
      <c r="K47" s="276">
        <v>143</v>
      </c>
      <c r="L47" s="276">
        <v>64</v>
      </c>
      <c r="M47" s="277">
        <v>144</v>
      </c>
    </row>
    <row r="48" spans="1:13" ht="14.25">
      <c r="A48" s="278">
        <v>11110</v>
      </c>
      <c r="B48" s="279" t="s">
        <v>117</v>
      </c>
      <c r="C48" s="279" t="s">
        <v>147</v>
      </c>
      <c r="D48" s="279" t="s">
        <v>148</v>
      </c>
      <c r="E48" s="280">
        <v>2.8</v>
      </c>
      <c r="F48" s="280" t="s">
        <v>122</v>
      </c>
      <c r="G48" s="280">
        <v>0</v>
      </c>
      <c r="H48" s="280">
        <v>1</v>
      </c>
      <c r="I48" s="280">
        <v>0</v>
      </c>
      <c r="J48" s="280">
        <v>0</v>
      </c>
      <c r="K48" s="280">
        <v>1</v>
      </c>
      <c r="L48" s="280">
        <v>0</v>
      </c>
      <c r="M48" s="281">
        <v>0</v>
      </c>
    </row>
    <row r="49" spans="1:13" ht="14.25">
      <c r="A49" s="274">
        <v>11110</v>
      </c>
      <c r="B49" s="275" t="s">
        <v>117</v>
      </c>
      <c r="C49" s="275" t="s">
        <v>149</v>
      </c>
      <c r="D49" s="275" t="s">
        <v>150</v>
      </c>
      <c r="E49" s="276">
        <v>2.8</v>
      </c>
      <c r="F49" s="276" t="s">
        <v>119</v>
      </c>
      <c r="G49" s="276">
        <v>0</v>
      </c>
      <c r="H49" s="276">
        <v>0</v>
      </c>
      <c r="I49" s="276">
        <v>10</v>
      </c>
      <c r="J49" s="276">
        <v>0</v>
      </c>
      <c r="K49" s="276">
        <v>10</v>
      </c>
      <c r="L49" s="276">
        <v>10</v>
      </c>
      <c r="M49" s="277">
        <v>28</v>
      </c>
    </row>
    <row r="50" spans="1:13" ht="14.25">
      <c r="A50" s="278">
        <v>11110</v>
      </c>
      <c r="B50" s="279" t="s">
        <v>117</v>
      </c>
      <c r="C50" s="279" t="s">
        <v>149</v>
      </c>
      <c r="D50" s="279" t="s">
        <v>150</v>
      </c>
      <c r="E50" s="280">
        <v>2.8</v>
      </c>
      <c r="F50" s="280" t="s">
        <v>122</v>
      </c>
      <c r="G50" s="280">
        <v>0</v>
      </c>
      <c r="H50" s="280">
        <v>17</v>
      </c>
      <c r="I50" s="280">
        <v>38</v>
      </c>
      <c r="J50" s="280">
        <v>1</v>
      </c>
      <c r="K50" s="280">
        <v>56</v>
      </c>
      <c r="L50" s="280">
        <v>38.5</v>
      </c>
      <c r="M50" s="281">
        <v>107.8</v>
      </c>
    </row>
    <row r="51" spans="1:13" ht="14.25">
      <c r="A51" s="274">
        <v>11110</v>
      </c>
      <c r="B51" s="275" t="s">
        <v>117</v>
      </c>
      <c r="C51" s="275" t="s">
        <v>151</v>
      </c>
      <c r="D51" s="275" t="s">
        <v>152</v>
      </c>
      <c r="E51" s="276">
        <v>2.8</v>
      </c>
      <c r="F51" s="276" t="s">
        <v>119</v>
      </c>
      <c r="G51" s="276">
        <v>0</v>
      </c>
      <c r="H51" s="276">
        <v>1</v>
      </c>
      <c r="I51" s="276">
        <v>9</v>
      </c>
      <c r="J51" s="276">
        <v>0</v>
      </c>
      <c r="K51" s="276">
        <v>10</v>
      </c>
      <c r="L51" s="276">
        <v>9</v>
      </c>
      <c r="M51" s="277">
        <v>25.2</v>
      </c>
    </row>
    <row r="52" spans="1:13" ht="14.25">
      <c r="A52" s="278">
        <v>11110</v>
      </c>
      <c r="B52" s="279" t="s">
        <v>117</v>
      </c>
      <c r="C52" s="279" t="s">
        <v>151</v>
      </c>
      <c r="D52" s="279" t="s">
        <v>152</v>
      </c>
      <c r="E52" s="280">
        <v>2.8</v>
      </c>
      <c r="F52" s="280" t="s">
        <v>122</v>
      </c>
      <c r="G52" s="280">
        <v>0</v>
      </c>
      <c r="H52" s="280">
        <v>24</v>
      </c>
      <c r="I52" s="280">
        <v>32</v>
      </c>
      <c r="J52" s="280">
        <v>0</v>
      </c>
      <c r="K52" s="280">
        <v>56</v>
      </c>
      <c r="L52" s="280">
        <v>32</v>
      </c>
      <c r="M52" s="281">
        <v>89.6</v>
      </c>
    </row>
    <row r="53" spans="1:13" ht="14.25">
      <c r="A53" s="274">
        <v>11110</v>
      </c>
      <c r="B53" s="275" t="s">
        <v>117</v>
      </c>
      <c r="C53" s="275" t="s">
        <v>153</v>
      </c>
      <c r="D53" s="275" t="s">
        <v>154</v>
      </c>
      <c r="E53" s="276">
        <v>2.8</v>
      </c>
      <c r="F53" s="276" t="s">
        <v>119</v>
      </c>
      <c r="G53" s="276">
        <v>0</v>
      </c>
      <c r="H53" s="276">
        <v>0</v>
      </c>
      <c r="I53" s="276">
        <v>3</v>
      </c>
      <c r="J53" s="276">
        <v>0</v>
      </c>
      <c r="K53" s="276">
        <v>3</v>
      </c>
      <c r="L53" s="276">
        <v>3</v>
      </c>
      <c r="M53" s="277">
        <v>8.4</v>
      </c>
    </row>
    <row r="54" spans="1:13" ht="14.25">
      <c r="A54" s="278">
        <v>11110</v>
      </c>
      <c r="B54" s="279" t="s">
        <v>117</v>
      </c>
      <c r="C54" s="279" t="s">
        <v>153</v>
      </c>
      <c r="D54" s="279" t="s">
        <v>154</v>
      </c>
      <c r="E54" s="280">
        <v>2.8</v>
      </c>
      <c r="F54" s="280" t="s">
        <v>122</v>
      </c>
      <c r="G54" s="280">
        <v>0</v>
      </c>
      <c r="H54" s="280">
        <v>14</v>
      </c>
      <c r="I54" s="280">
        <v>3</v>
      </c>
      <c r="J54" s="280">
        <v>0</v>
      </c>
      <c r="K54" s="280">
        <v>17</v>
      </c>
      <c r="L54" s="280">
        <v>3</v>
      </c>
      <c r="M54" s="281">
        <v>8.4</v>
      </c>
    </row>
    <row r="55" spans="1:13" ht="14.25">
      <c r="A55" s="274">
        <v>11110</v>
      </c>
      <c r="B55" s="275" t="s">
        <v>117</v>
      </c>
      <c r="C55" s="275" t="s">
        <v>155</v>
      </c>
      <c r="D55" s="275" t="s">
        <v>156</v>
      </c>
      <c r="E55" s="276">
        <v>1</v>
      </c>
      <c r="F55" s="276" t="s">
        <v>119</v>
      </c>
      <c r="G55" s="276">
        <v>0</v>
      </c>
      <c r="H55" s="276">
        <v>0</v>
      </c>
      <c r="I55" s="276">
        <v>3</v>
      </c>
      <c r="J55" s="276">
        <v>0</v>
      </c>
      <c r="K55" s="276">
        <v>3</v>
      </c>
      <c r="L55" s="276">
        <v>3</v>
      </c>
      <c r="M55" s="277">
        <v>3</v>
      </c>
    </row>
    <row r="56" spans="1:13" ht="14.25">
      <c r="A56" s="278">
        <v>11110</v>
      </c>
      <c r="B56" s="279" t="s">
        <v>117</v>
      </c>
      <c r="C56" s="279" t="s">
        <v>155</v>
      </c>
      <c r="D56" s="279" t="s">
        <v>156</v>
      </c>
      <c r="E56" s="280">
        <v>1</v>
      </c>
      <c r="F56" s="280" t="s">
        <v>122</v>
      </c>
      <c r="G56" s="280">
        <v>0</v>
      </c>
      <c r="H56" s="280">
        <v>4</v>
      </c>
      <c r="I56" s="280">
        <v>5</v>
      </c>
      <c r="J56" s="280">
        <v>1</v>
      </c>
      <c r="K56" s="280">
        <v>10</v>
      </c>
      <c r="L56" s="280">
        <v>5.5</v>
      </c>
      <c r="M56" s="281">
        <v>5.5</v>
      </c>
    </row>
    <row r="57" spans="1:13" ht="14.25">
      <c r="A57" s="274">
        <v>11110</v>
      </c>
      <c r="B57" s="275" t="s">
        <v>117</v>
      </c>
      <c r="C57" s="275" t="s">
        <v>157</v>
      </c>
      <c r="D57" s="275" t="s">
        <v>158</v>
      </c>
      <c r="E57" s="276">
        <v>2.8</v>
      </c>
      <c r="F57" s="276" t="s">
        <v>119</v>
      </c>
      <c r="G57" s="276">
        <v>0</v>
      </c>
      <c r="H57" s="276">
        <v>0</v>
      </c>
      <c r="I57" s="276">
        <v>5</v>
      </c>
      <c r="J57" s="276">
        <v>0</v>
      </c>
      <c r="K57" s="276">
        <v>5</v>
      </c>
      <c r="L57" s="276">
        <v>5</v>
      </c>
      <c r="M57" s="277">
        <v>14</v>
      </c>
    </row>
    <row r="58" spans="1:13" ht="14.25">
      <c r="A58" s="278">
        <v>11110</v>
      </c>
      <c r="B58" s="279" t="s">
        <v>117</v>
      </c>
      <c r="C58" s="279" t="s">
        <v>157</v>
      </c>
      <c r="D58" s="279" t="s">
        <v>158</v>
      </c>
      <c r="E58" s="280">
        <v>2.8</v>
      </c>
      <c r="F58" s="280" t="s">
        <v>122</v>
      </c>
      <c r="G58" s="280">
        <v>0</v>
      </c>
      <c r="H58" s="280">
        <v>15</v>
      </c>
      <c r="I58" s="280">
        <v>15</v>
      </c>
      <c r="J58" s="280">
        <v>0</v>
      </c>
      <c r="K58" s="280">
        <v>30</v>
      </c>
      <c r="L58" s="280">
        <v>15</v>
      </c>
      <c r="M58" s="281">
        <v>42</v>
      </c>
    </row>
    <row r="59" spans="1:13" ht="14.25">
      <c r="A59" s="274">
        <v>11110</v>
      </c>
      <c r="B59" s="275" t="s">
        <v>117</v>
      </c>
      <c r="C59" s="275" t="s">
        <v>159</v>
      </c>
      <c r="D59" s="275" t="s">
        <v>160</v>
      </c>
      <c r="E59" s="276">
        <v>1</v>
      </c>
      <c r="F59" s="276" t="s">
        <v>119</v>
      </c>
      <c r="G59" s="276">
        <v>0</v>
      </c>
      <c r="H59" s="276">
        <v>0</v>
      </c>
      <c r="I59" s="276">
        <v>8</v>
      </c>
      <c r="J59" s="276">
        <v>0</v>
      </c>
      <c r="K59" s="276">
        <v>8</v>
      </c>
      <c r="L59" s="276">
        <v>8</v>
      </c>
      <c r="M59" s="277">
        <v>8</v>
      </c>
    </row>
    <row r="60" spans="1:13" ht="14.25">
      <c r="A60" s="278">
        <v>11110</v>
      </c>
      <c r="B60" s="279" t="s">
        <v>117</v>
      </c>
      <c r="C60" s="279" t="s">
        <v>159</v>
      </c>
      <c r="D60" s="279" t="s">
        <v>160</v>
      </c>
      <c r="E60" s="280">
        <v>1</v>
      </c>
      <c r="F60" s="280" t="s">
        <v>122</v>
      </c>
      <c r="G60" s="280">
        <v>0</v>
      </c>
      <c r="H60" s="280">
        <v>4</v>
      </c>
      <c r="I60" s="280">
        <v>4</v>
      </c>
      <c r="J60" s="280">
        <v>0</v>
      </c>
      <c r="K60" s="280">
        <v>8</v>
      </c>
      <c r="L60" s="280">
        <v>4</v>
      </c>
      <c r="M60" s="281">
        <v>4</v>
      </c>
    </row>
    <row r="61" spans="1:13" ht="14.25">
      <c r="A61" s="274">
        <v>11110</v>
      </c>
      <c r="B61" s="275" t="s">
        <v>117</v>
      </c>
      <c r="C61" s="275" t="s">
        <v>161</v>
      </c>
      <c r="D61" s="275" t="s">
        <v>162</v>
      </c>
      <c r="E61" s="276">
        <v>2.25</v>
      </c>
      <c r="F61" s="276" t="s">
        <v>119</v>
      </c>
      <c r="G61" s="276">
        <v>0</v>
      </c>
      <c r="H61" s="276">
        <v>1</v>
      </c>
      <c r="I61" s="276">
        <v>4</v>
      </c>
      <c r="J61" s="276">
        <v>0</v>
      </c>
      <c r="K61" s="276">
        <v>5</v>
      </c>
      <c r="L61" s="276">
        <v>4</v>
      </c>
      <c r="M61" s="277">
        <v>9</v>
      </c>
    </row>
    <row r="62" spans="1:13" ht="14.25">
      <c r="A62" s="278">
        <v>11110</v>
      </c>
      <c r="B62" s="279" t="s">
        <v>117</v>
      </c>
      <c r="C62" s="279" t="s">
        <v>161</v>
      </c>
      <c r="D62" s="279" t="s">
        <v>162</v>
      </c>
      <c r="E62" s="280">
        <v>2.25</v>
      </c>
      <c r="F62" s="280" t="s">
        <v>122</v>
      </c>
      <c r="G62" s="280">
        <v>0</v>
      </c>
      <c r="H62" s="280">
        <v>5</v>
      </c>
      <c r="I62" s="280">
        <v>9</v>
      </c>
      <c r="J62" s="280">
        <v>0</v>
      </c>
      <c r="K62" s="280">
        <v>14</v>
      </c>
      <c r="L62" s="280">
        <v>9</v>
      </c>
      <c r="M62" s="281">
        <v>20.25</v>
      </c>
    </row>
    <row r="63" spans="1:13" ht="14.25">
      <c r="A63" s="274">
        <v>11110</v>
      </c>
      <c r="B63" s="275" t="s">
        <v>117</v>
      </c>
      <c r="C63" s="275" t="s">
        <v>17</v>
      </c>
      <c r="D63" s="275" t="s">
        <v>18</v>
      </c>
      <c r="E63" s="276">
        <v>2.25</v>
      </c>
      <c r="F63" s="276" t="s">
        <v>119</v>
      </c>
      <c r="G63" s="276">
        <v>0</v>
      </c>
      <c r="H63" s="276">
        <v>0</v>
      </c>
      <c r="I63" s="276">
        <v>4</v>
      </c>
      <c r="J63" s="276">
        <v>1</v>
      </c>
      <c r="K63" s="276">
        <v>5</v>
      </c>
      <c r="L63" s="276">
        <v>4.5</v>
      </c>
      <c r="M63" s="277">
        <v>10.13</v>
      </c>
    </row>
    <row r="64" spans="1:13" ht="14.25">
      <c r="A64" s="278">
        <v>11110</v>
      </c>
      <c r="B64" s="279" t="s">
        <v>117</v>
      </c>
      <c r="C64" s="279" t="s">
        <v>17</v>
      </c>
      <c r="D64" s="279" t="s">
        <v>18</v>
      </c>
      <c r="E64" s="280">
        <v>2.25</v>
      </c>
      <c r="F64" s="280" t="s">
        <v>122</v>
      </c>
      <c r="G64" s="280">
        <v>0</v>
      </c>
      <c r="H64" s="280">
        <v>9</v>
      </c>
      <c r="I64" s="280">
        <v>14</v>
      </c>
      <c r="J64" s="280">
        <v>0</v>
      </c>
      <c r="K64" s="280">
        <v>23</v>
      </c>
      <c r="L64" s="280">
        <v>14</v>
      </c>
      <c r="M64" s="281">
        <v>31.5</v>
      </c>
    </row>
    <row r="65" spans="1:13" ht="14.25">
      <c r="A65" s="274">
        <v>11110</v>
      </c>
      <c r="B65" s="275" t="s">
        <v>117</v>
      </c>
      <c r="C65" s="275" t="s">
        <v>19</v>
      </c>
      <c r="D65" s="275" t="s">
        <v>20</v>
      </c>
      <c r="E65" s="276">
        <v>1</v>
      </c>
      <c r="F65" s="276" t="s">
        <v>119</v>
      </c>
      <c r="G65" s="276">
        <v>0</v>
      </c>
      <c r="H65" s="276">
        <v>1</v>
      </c>
      <c r="I65" s="276">
        <v>12</v>
      </c>
      <c r="J65" s="276">
        <v>0</v>
      </c>
      <c r="K65" s="276">
        <v>13</v>
      </c>
      <c r="L65" s="276">
        <v>12</v>
      </c>
      <c r="M65" s="277">
        <v>12</v>
      </c>
    </row>
    <row r="66" spans="1:13" ht="14.25">
      <c r="A66" s="278">
        <v>11110</v>
      </c>
      <c r="B66" s="279" t="s">
        <v>117</v>
      </c>
      <c r="C66" s="279" t="s">
        <v>19</v>
      </c>
      <c r="D66" s="279" t="s">
        <v>20</v>
      </c>
      <c r="E66" s="280">
        <v>1</v>
      </c>
      <c r="F66" s="280" t="s">
        <v>122</v>
      </c>
      <c r="G66" s="280">
        <v>0</v>
      </c>
      <c r="H66" s="280">
        <v>28</v>
      </c>
      <c r="I66" s="280">
        <v>45</v>
      </c>
      <c r="J66" s="280">
        <v>0</v>
      </c>
      <c r="K66" s="280">
        <v>73</v>
      </c>
      <c r="L66" s="280">
        <v>45</v>
      </c>
      <c r="M66" s="281">
        <v>45</v>
      </c>
    </row>
    <row r="67" spans="1:13" ht="9.75">
      <c r="A67" s="282">
        <v>11110</v>
      </c>
      <c r="B67" s="283" t="s">
        <v>163</v>
      </c>
      <c r="C67" s="283"/>
      <c r="D67" s="283"/>
      <c r="E67" s="283"/>
      <c r="F67" s="284" t="s">
        <v>132</v>
      </c>
      <c r="G67" s="284">
        <v>78</v>
      </c>
      <c r="H67" s="284">
        <v>14</v>
      </c>
      <c r="I67" s="284">
        <v>81</v>
      </c>
      <c r="J67" s="284">
        <v>1</v>
      </c>
      <c r="K67" s="284">
        <v>174</v>
      </c>
      <c r="L67" s="284"/>
      <c r="M67" s="1052"/>
    </row>
    <row r="68" spans="1:13" ht="9.75">
      <c r="A68" s="282">
        <v>11110</v>
      </c>
      <c r="B68" s="283" t="s">
        <v>163</v>
      </c>
      <c r="C68" s="283"/>
      <c r="D68" s="283"/>
      <c r="E68" s="283"/>
      <c r="F68" s="284" t="s">
        <v>109</v>
      </c>
      <c r="G68" s="284">
        <v>0</v>
      </c>
      <c r="H68" s="284">
        <v>61</v>
      </c>
      <c r="I68" s="284">
        <v>269</v>
      </c>
      <c r="J68" s="284">
        <v>12</v>
      </c>
      <c r="K68" s="284">
        <v>342</v>
      </c>
      <c r="L68" s="284"/>
      <c r="M68" s="1052"/>
    </row>
    <row r="69" spans="1:13" ht="9.75">
      <c r="A69" s="282">
        <v>11110</v>
      </c>
      <c r="B69" s="283" t="s">
        <v>163</v>
      </c>
      <c r="C69" s="283"/>
      <c r="D69" s="283"/>
      <c r="E69" s="283"/>
      <c r="F69" s="284" t="s">
        <v>110</v>
      </c>
      <c r="G69" s="284">
        <v>418</v>
      </c>
      <c r="H69" s="284">
        <v>1</v>
      </c>
      <c r="I69" s="284">
        <v>95</v>
      </c>
      <c r="J69" s="284">
        <v>0</v>
      </c>
      <c r="K69" s="284">
        <v>514</v>
      </c>
      <c r="L69" s="284"/>
      <c r="M69" s="1052"/>
    </row>
    <row r="70" spans="1:13" ht="9.75">
      <c r="A70" s="282">
        <v>11110</v>
      </c>
      <c r="B70" s="283" t="s">
        <v>163</v>
      </c>
      <c r="C70" s="283"/>
      <c r="D70" s="283"/>
      <c r="E70" s="283"/>
      <c r="F70" s="284" t="s">
        <v>113</v>
      </c>
      <c r="G70" s="284">
        <v>0</v>
      </c>
      <c r="H70" s="284">
        <v>100</v>
      </c>
      <c r="I70" s="284">
        <v>1614</v>
      </c>
      <c r="J70" s="284">
        <v>11</v>
      </c>
      <c r="K70" s="284">
        <v>1725</v>
      </c>
      <c r="L70" s="284"/>
      <c r="M70" s="1052"/>
    </row>
    <row r="71" spans="1:13" ht="9.75">
      <c r="A71" s="282">
        <v>11110</v>
      </c>
      <c r="B71" s="283" t="s">
        <v>163</v>
      </c>
      <c r="C71" s="283"/>
      <c r="D71" s="283"/>
      <c r="E71" s="283"/>
      <c r="F71" s="284" t="s">
        <v>116</v>
      </c>
      <c r="G71" s="284">
        <v>0</v>
      </c>
      <c r="H71" s="284">
        <v>1</v>
      </c>
      <c r="I71" s="284">
        <v>98</v>
      </c>
      <c r="J71" s="284">
        <v>0</v>
      </c>
      <c r="K71" s="284">
        <v>99</v>
      </c>
      <c r="L71" s="284"/>
      <c r="M71" s="1052"/>
    </row>
    <row r="72" spans="1:13" ht="9.75">
      <c r="A72" s="282">
        <v>11110</v>
      </c>
      <c r="B72" s="283" t="s">
        <v>163</v>
      </c>
      <c r="C72" s="283"/>
      <c r="D72" s="283"/>
      <c r="E72" s="283"/>
      <c r="F72" s="284" t="s">
        <v>114</v>
      </c>
      <c r="G72" s="284">
        <v>0</v>
      </c>
      <c r="H72" s="284">
        <v>44</v>
      </c>
      <c r="I72" s="284">
        <v>172</v>
      </c>
      <c r="J72" s="284">
        <v>4</v>
      </c>
      <c r="K72" s="284">
        <v>220</v>
      </c>
      <c r="L72" s="284"/>
      <c r="M72" s="1052"/>
    </row>
    <row r="73" spans="1:13" ht="9.75">
      <c r="A73" s="282">
        <v>11110</v>
      </c>
      <c r="B73" s="283" t="s">
        <v>163</v>
      </c>
      <c r="C73" s="283"/>
      <c r="D73" s="283"/>
      <c r="E73" s="283"/>
      <c r="F73" s="284" t="s">
        <v>119</v>
      </c>
      <c r="G73" s="284">
        <v>0</v>
      </c>
      <c r="H73" s="284">
        <v>16</v>
      </c>
      <c r="I73" s="284">
        <v>131</v>
      </c>
      <c r="J73" s="284">
        <v>2</v>
      </c>
      <c r="K73" s="284">
        <v>149</v>
      </c>
      <c r="L73" s="284"/>
      <c r="M73" s="1052"/>
    </row>
    <row r="74" spans="1:13" ht="9.75">
      <c r="A74" s="282">
        <v>11110</v>
      </c>
      <c r="B74" s="283" t="s">
        <v>163</v>
      </c>
      <c r="C74" s="283"/>
      <c r="D74" s="283"/>
      <c r="E74" s="283"/>
      <c r="F74" s="284" t="s">
        <v>122</v>
      </c>
      <c r="G74" s="284">
        <v>0</v>
      </c>
      <c r="H74" s="284">
        <v>333</v>
      </c>
      <c r="I74" s="284">
        <v>390</v>
      </c>
      <c r="J74" s="284">
        <v>3</v>
      </c>
      <c r="K74" s="284">
        <v>726</v>
      </c>
      <c r="L74" s="284"/>
      <c r="M74" s="1052"/>
    </row>
    <row r="75" spans="1:13" ht="14.25">
      <c r="A75" s="274">
        <v>11120</v>
      </c>
      <c r="B75" s="275" t="s">
        <v>164</v>
      </c>
      <c r="C75" s="275" t="s">
        <v>786</v>
      </c>
      <c r="D75" s="275" t="s">
        <v>787</v>
      </c>
      <c r="E75" s="276">
        <v>2.25</v>
      </c>
      <c r="F75" s="276" t="s">
        <v>132</v>
      </c>
      <c r="G75" s="276">
        <v>43</v>
      </c>
      <c r="H75" s="276">
        <v>0</v>
      </c>
      <c r="I75" s="276">
        <v>20</v>
      </c>
      <c r="J75" s="276">
        <v>0</v>
      </c>
      <c r="K75" s="276">
        <v>63</v>
      </c>
      <c r="L75" s="276">
        <v>63</v>
      </c>
      <c r="M75" s="277">
        <v>141.75</v>
      </c>
    </row>
    <row r="76" spans="1:13" ht="14.25">
      <c r="A76" s="278">
        <v>11120</v>
      </c>
      <c r="B76" s="279" t="s">
        <v>164</v>
      </c>
      <c r="C76" s="279" t="s">
        <v>788</v>
      </c>
      <c r="D76" s="279" t="s">
        <v>778</v>
      </c>
      <c r="E76" s="280">
        <v>2.25</v>
      </c>
      <c r="F76" s="280" t="s">
        <v>132</v>
      </c>
      <c r="G76" s="280">
        <v>17</v>
      </c>
      <c r="H76" s="280">
        <v>0</v>
      </c>
      <c r="I76" s="280">
        <v>10</v>
      </c>
      <c r="J76" s="280">
        <v>0</v>
      </c>
      <c r="K76" s="280">
        <v>27</v>
      </c>
      <c r="L76" s="280">
        <v>27</v>
      </c>
      <c r="M76" s="281">
        <v>60.75</v>
      </c>
    </row>
    <row r="77" spans="1:13" ht="14.25">
      <c r="A77" s="274">
        <v>11120</v>
      </c>
      <c r="B77" s="275" t="s">
        <v>164</v>
      </c>
      <c r="C77" s="275" t="s">
        <v>130</v>
      </c>
      <c r="D77" s="275" t="s">
        <v>131</v>
      </c>
      <c r="E77" s="276">
        <v>2.25</v>
      </c>
      <c r="F77" s="276" t="s">
        <v>132</v>
      </c>
      <c r="G77" s="276">
        <v>0</v>
      </c>
      <c r="H77" s="276">
        <v>0</v>
      </c>
      <c r="I77" s="276">
        <v>2</v>
      </c>
      <c r="J77" s="276">
        <v>0</v>
      </c>
      <c r="K77" s="276">
        <v>2</v>
      </c>
      <c r="L77" s="276">
        <v>2</v>
      </c>
      <c r="M77" s="277">
        <v>4.5</v>
      </c>
    </row>
    <row r="78" spans="1:13" ht="14.25">
      <c r="A78" s="278">
        <v>11120</v>
      </c>
      <c r="B78" s="279" t="s">
        <v>164</v>
      </c>
      <c r="C78" s="279" t="s">
        <v>130</v>
      </c>
      <c r="D78" s="279" t="s">
        <v>131</v>
      </c>
      <c r="E78" s="280">
        <v>2.25</v>
      </c>
      <c r="F78" s="280" t="s">
        <v>109</v>
      </c>
      <c r="G78" s="280">
        <v>0</v>
      </c>
      <c r="H78" s="280">
        <v>9</v>
      </c>
      <c r="I78" s="280">
        <v>131</v>
      </c>
      <c r="J78" s="280">
        <v>2</v>
      </c>
      <c r="K78" s="280">
        <v>142</v>
      </c>
      <c r="L78" s="280">
        <v>132</v>
      </c>
      <c r="M78" s="281">
        <v>297</v>
      </c>
    </row>
    <row r="79" spans="1:13" ht="14.25">
      <c r="A79" s="274">
        <v>11120</v>
      </c>
      <c r="B79" s="275" t="s">
        <v>164</v>
      </c>
      <c r="C79" s="275" t="s">
        <v>95</v>
      </c>
      <c r="D79" s="275" t="s">
        <v>18</v>
      </c>
      <c r="E79" s="276">
        <v>2.25</v>
      </c>
      <c r="F79" s="276" t="s">
        <v>132</v>
      </c>
      <c r="G79" s="276">
        <v>30</v>
      </c>
      <c r="H79" s="276">
        <v>1</v>
      </c>
      <c r="I79" s="276">
        <v>25</v>
      </c>
      <c r="J79" s="276">
        <v>3</v>
      </c>
      <c r="K79" s="276">
        <v>59</v>
      </c>
      <c r="L79" s="276">
        <v>56.5</v>
      </c>
      <c r="M79" s="277">
        <v>127.13</v>
      </c>
    </row>
    <row r="80" spans="1:13" ht="14.25">
      <c r="A80" s="278">
        <v>11120</v>
      </c>
      <c r="B80" s="279" t="s">
        <v>164</v>
      </c>
      <c r="C80" s="279" t="s">
        <v>95</v>
      </c>
      <c r="D80" s="279" t="s">
        <v>18</v>
      </c>
      <c r="E80" s="280">
        <v>2.25</v>
      </c>
      <c r="F80" s="280" t="s">
        <v>109</v>
      </c>
      <c r="G80" s="280">
        <v>0</v>
      </c>
      <c r="H80" s="280">
        <v>18</v>
      </c>
      <c r="I80" s="280">
        <v>112</v>
      </c>
      <c r="J80" s="280">
        <v>6</v>
      </c>
      <c r="K80" s="280">
        <v>136</v>
      </c>
      <c r="L80" s="280">
        <v>115</v>
      </c>
      <c r="M80" s="281">
        <v>258.75</v>
      </c>
    </row>
    <row r="81" spans="1:13" ht="14.25">
      <c r="A81" s="274">
        <v>11120</v>
      </c>
      <c r="B81" s="275" t="s">
        <v>164</v>
      </c>
      <c r="C81" s="275" t="s">
        <v>9</v>
      </c>
      <c r="D81" s="275" t="s">
        <v>10</v>
      </c>
      <c r="E81" s="276">
        <v>2.8</v>
      </c>
      <c r="F81" s="276" t="s">
        <v>110</v>
      </c>
      <c r="G81" s="276">
        <v>162</v>
      </c>
      <c r="H81" s="276">
        <v>0</v>
      </c>
      <c r="I81" s="276">
        <v>53</v>
      </c>
      <c r="J81" s="276">
        <v>0</v>
      </c>
      <c r="K81" s="276">
        <v>215</v>
      </c>
      <c r="L81" s="276">
        <v>215</v>
      </c>
      <c r="M81" s="277">
        <v>602</v>
      </c>
    </row>
    <row r="82" spans="1:13" ht="14.25">
      <c r="A82" s="278">
        <v>11120</v>
      </c>
      <c r="B82" s="279" t="s">
        <v>164</v>
      </c>
      <c r="C82" s="279" t="s">
        <v>9</v>
      </c>
      <c r="D82" s="279" t="s">
        <v>10</v>
      </c>
      <c r="E82" s="280">
        <v>2.8</v>
      </c>
      <c r="F82" s="280" t="s">
        <v>113</v>
      </c>
      <c r="G82" s="280">
        <v>0</v>
      </c>
      <c r="H82" s="280">
        <v>26</v>
      </c>
      <c r="I82" s="280">
        <v>848</v>
      </c>
      <c r="J82" s="280">
        <v>4</v>
      </c>
      <c r="K82" s="280">
        <v>878</v>
      </c>
      <c r="L82" s="280">
        <v>850</v>
      </c>
      <c r="M82" s="281">
        <v>2380</v>
      </c>
    </row>
    <row r="83" spans="1:13" ht="14.25">
      <c r="A83" s="274">
        <v>11120</v>
      </c>
      <c r="B83" s="275" t="s">
        <v>164</v>
      </c>
      <c r="C83" s="275" t="s">
        <v>789</v>
      </c>
      <c r="D83" s="275" t="s">
        <v>790</v>
      </c>
      <c r="E83" s="276">
        <v>2.25</v>
      </c>
      <c r="F83" s="276" t="s">
        <v>116</v>
      </c>
      <c r="G83" s="276">
        <v>0</v>
      </c>
      <c r="H83" s="276">
        <v>0</v>
      </c>
      <c r="I83" s="276">
        <v>27</v>
      </c>
      <c r="J83" s="276">
        <v>0</v>
      </c>
      <c r="K83" s="276">
        <v>27</v>
      </c>
      <c r="L83" s="276">
        <v>27</v>
      </c>
      <c r="M83" s="277">
        <v>60.75</v>
      </c>
    </row>
    <row r="84" spans="1:13" ht="14.25">
      <c r="A84" s="278">
        <v>11120</v>
      </c>
      <c r="B84" s="279" t="s">
        <v>164</v>
      </c>
      <c r="C84" s="279" t="s">
        <v>783</v>
      </c>
      <c r="D84" s="279" t="s">
        <v>136</v>
      </c>
      <c r="E84" s="280">
        <v>2.8</v>
      </c>
      <c r="F84" s="280" t="s">
        <v>119</v>
      </c>
      <c r="G84" s="280">
        <v>0</v>
      </c>
      <c r="H84" s="280">
        <v>0</v>
      </c>
      <c r="I84" s="280">
        <v>1</v>
      </c>
      <c r="J84" s="280">
        <v>0</v>
      </c>
      <c r="K84" s="280">
        <v>1</v>
      </c>
      <c r="L84" s="280">
        <v>1</v>
      </c>
      <c r="M84" s="281">
        <v>2.8</v>
      </c>
    </row>
    <row r="85" spans="1:13" ht="14.25">
      <c r="A85" s="274">
        <v>11120</v>
      </c>
      <c r="B85" s="275" t="s">
        <v>164</v>
      </c>
      <c r="C85" s="275" t="s">
        <v>791</v>
      </c>
      <c r="D85" s="275" t="s">
        <v>792</v>
      </c>
      <c r="E85" s="276">
        <v>2.8</v>
      </c>
      <c r="F85" s="276" t="s">
        <v>119</v>
      </c>
      <c r="G85" s="276">
        <v>0</v>
      </c>
      <c r="H85" s="276">
        <v>1</v>
      </c>
      <c r="I85" s="276">
        <v>11</v>
      </c>
      <c r="J85" s="276">
        <v>0</v>
      </c>
      <c r="K85" s="276">
        <v>12</v>
      </c>
      <c r="L85" s="276">
        <v>11</v>
      </c>
      <c r="M85" s="277">
        <v>30.8</v>
      </c>
    </row>
    <row r="86" spans="1:13" ht="14.25">
      <c r="A86" s="278">
        <v>11120</v>
      </c>
      <c r="B86" s="279" t="s">
        <v>164</v>
      </c>
      <c r="C86" s="279" t="s">
        <v>135</v>
      </c>
      <c r="D86" s="279" t="s">
        <v>136</v>
      </c>
      <c r="E86" s="280">
        <v>2.8</v>
      </c>
      <c r="F86" s="280" t="s">
        <v>122</v>
      </c>
      <c r="G86" s="280">
        <v>0</v>
      </c>
      <c r="H86" s="280">
        <v>1</v>
      </c>
      <c r="I86" s="280">
        <v>3</v>
      </c>
      <c r="J86" s="280">
        <v>0</v>
      </c>
      <c r="K86" s="280">
        <v>4</v>
      </c>
      <c r="L86" s="280">
        <v>3</v>
      </c>
      <c r="M86" s="281">
        <v>8.4</v>
      </c>
    </row>
    <row r="87" spans="1:13" ht="14.25">
      <c r="A87" s="274">
        <v>11120</v>
      </c>
      <c r="B87" s="275" t="s">
        <v>164</v>
      </c>
      <c r="C87" s="275" t="s">
        <v>137</v>
      </c>
      <c r="D87" s="275" t="s">
        <v>138</v>
      </c>
      <c r="E87" s="276">
        <v>2.25</v>
      </c>
      <c r="F87" s="276" t="s">
        <v>119</v>
      </c>
      <c r="G87" s="276">
        <v>0</v>
      </c>
      <c r="H87" s="276">
        <v>0</v>
      </c>
      <c r="I87" s="276">
        <v>2</v>
      </c>
      <c r="J87" s="276">
        <v>0</v>
      </c>
      <c r="K87" s="276">
        <v>2</v>
      </c>
      <c r="L87" s="276">
        <v>2</v>
      </c>
      <c r="M87" s="277">
        <v>4.5</v>
      </c>
    </row>
    <row r="88" spans="1:13" ht="14.25">
      <c r="A88" s="278">
        <v>11120</v>
      </c>
      <c r="B88" s="279" t="s">
        <v>164</v>
      </c>
      <c r="C88" s="279" t="s">
        <v>137</v>
      </c>
      <c r="D88" s="279" t="s">
        <v>138</v>
      </c>
      <c r="E88" s="280">
        <v>2.25</v>
      </c>
      <c r="F88" s="280" t="s">
        <v>122</v>
      </c>
      <c r="G88" s="280">
        <v>0</v>
      </c>
      <c r="H88" s="280">
        <v>3</v>
      </c>
      <c r="I88" s="280">
        <v>2</v>
      </c>
      <c r="J88" s="280">
        <v>0</v>
      </c>
      <c r="K88" s="280">
        <v>5</v>
      </c>
      <c r="L88" s="280">
        <v>2</v>
      </c>
      <c r="M88" s="281">
        <v>4.5</v>
      </c>
    </row>
    <row r="89" spans="1:13" ht="14.25">
      <c r="A89" s="274">
        <v>11120</v>
      </c>
      <c r="B89" s="275" t="s">
        <v>164</v>
      </c>
      <c r="C89" s="275" t="s">
        <v>139</v>
      </c>
      <c r="D89" s="275" t="s">
        <v>140</v>
      </c>
      <c r="E89" s="276">
        <v>2.25</v>
      </c>
      <c r="F89" s="276" t="s">
        <v>122</v>
      </c>
      <c r="G89" s="276">
        <v>0</v>
      </c>
      <c r="H89" s="276">
        <v>1</v>
      </c>
      <c r="I89" s="276">
        <v>1</v>
      </c>
      <c r="J89" s="276">
        <v>0</v>
      </c>
      <c r="K89" s="276">
        <v>2</v>
      </c>
      <c r="L89" s="276">
        <v>1</v>
      </c>
      <c r="M89" s="277">
        <v>2.25</v>
      </c>
    </row>
    <row r="90" spans="1:13" ht="14.25">
      <c r="A90" s="278">
        <v>11120</v>
      </c>
      <c r="B90" s="279" t="s">
        <v>164</v>
      </c>
      <c r="C90" s="279" t="s">
        <v>77</v>
      </c>
      <c r="D90" s="279" t="s">
        <v>78</v>
      </c>
      <c r="E90" s="280">
        <v>2.25</v>
      </c>
      <c r="F90" s="280" t="s">
        <v>119</v>
      </c>
      <c r="G90" s="280">
        <v>0</v>
      </c>
      <c r="H90" s="280">
        <v>0</v>
      </c>
      <c r="I90" s="280">
        <v>1</v>
      </c>
      <c r="J90" s="280">
        <v>0</v>
      </c>
      <c r="K90" s="280">
        <v>1</v>
      </c>
      <c r="L90" s="280">
        <v>1</v>
      </c>
      <c r="M90" s="281">
        <v>2.25</v>
      </c>
    </row>
    <row r="91" spans="1:13" ht="14.25">
      <c r="A91" s="274">
        <v>11120</v>
      </c>
      <c r="B91" s="275" t="s">
        <v>164</v>
      </c>
      <c r="C91" s="275" t="s">
        <v>77</v>
      </c>
      <c r="D91" s="275" t="s">
        <v>78</v>
      </c>
      <c r="E91" s="276">
        <v>2.25</v>
      </c>
      <c r="F91" s="276" t="s">
        <v>122</v>
      </c>
      <c r="G91" s="276">
        <v>0</v>
      </c>
      <c r="H91" s="276">
        <v>7</v>
      </c>
      <c r="I91" s="276">
        <v>10</v>
      </c>
      <c r="J91" s="276">
        <v>0</v>
      </c>
      <c r="K91" s="276">
        <v>17</v>
      </c>
      <c r="L91" s="276">
        <v>10</v>
      </c>
      <c r="M91" s="277">
        <v>22.5</v>
      </c>
    </row>
    <row r="92" spans="1:13" ht="14.25">
      <c r="A92" s="278">
        <v>11120</v>
      </c>
      <c r="B92" s="279" t="s">
        <v>164</v>
      </c>
      <c r="C92" s="279" t="s">
        <v>13</v>
      </c>
      <c r="D92" s="279" t="s">
        <v>14</v>
      </c>
      <c r="E92" s="280">
        <v>2.8</v>
      </c>
      <c r="F92" s="280" t="s">
        <v>119</v>
      </c>
      <c r="G92" s="280">
        <v>0</v>
      </c>
      <c r="H92" s="280">
        <v>4</v>
      </c>
      <c r="I92" s="280">
        <v>9</v>
      </c>
      <c r="J92" s="280">
        <v>0</v>
      </c>
      <c r="K92" s="280">
        <v>13</v>
      </c>
      <c r="L92" s="280">
        <v>9</v>
      </c>
      <c r="M92" s="281">
        <v>25.2</v>
      </c>
    </row>
    <row r="93" spans="1:13" ht="14.25">
      <c r="A93" s="274">
        <v>11120</v>
      </c>
      <c r="B93" s="275" t="s">
        <v>164</v>
      </c>
      <c r="C93" s="275" t="s">
        <v>13</v>
      </c>
      <c r="D93" s="275" t="s">
        <v>14</v>
      </c>
      <c r="E93" s="276">
        <v>2.8</v>
      </c>
      <c r="F93" s="276" t="s">
        <v>122</v>
      </c>
      <c r="G93" s="276">
        <v>0</v>
      </c>
      <c r="H93" s="276">
        <v>19</v>
      </c>
      <c r="I93" s="276">
        <v>18</v>
      </c>
      <c r="J93" s="276">
        <v>1</v>
      </c>
      <c r="K93" s="276">
        <v>38</v>
      </c>
      <c r="L93" s="276">
        <v>18.5</v>
      </c>
      <c r="M93" s="277">
        <v>51.8</v>
      </c>
    </row>
    <row r="94" spans="1:13" ht="14.25">
      <c r="A94" s="278">
        <v>11120</v>
      </c>
      <c r="B94" s="279" t="s">
        <v>164</v>
      </c>
      <c r="C94" s="279" t="s">
        <v>15</v>
      </c>
      <c r="D94" s="279" t="s">
        <v>16</v>
      </c>
      <c r="E94" s="280">
        <v>2.25</v>
      </c>
      <c r="F94" s="280" t="s">
        <v>119</v>
      </c>
      <c r="G94" s="280">
        <v>0</v>
      </c>
      <c r="H94" s="280">
        <v>5</v>
      </c>
      <c r="I94" s="280">
        <v>11</v>
      </c>
      <c r="J94" s="280">
        <v>0</v>
      </c>
      <c r="K94" s="280">
        <v>16</v>
      </c>
      <c r="L94" s="280">
        <v>11</v>
      </c>
      <c r="M94" s="281">
        <v>24.75</v>
      </c>
    </row>
    <row r="95" spans="1:13" ht="14.25">
      <c r="A95" s="274">
        <v>11120</v>
      </c>
      <c r="B95" s="275" t="s">
        <v>164</v>
      </c>
      <c r="C95" s="275" t="s">
        <v>15</v>
      </c>
      <c r="D95" s="275" t="s">
        <v>16</v>
      </c>
      <c r="E95" s="276">
        <v>2.25</v>
      </c>
      <c r="F95" s="276" t="s">
        <v>122</v>
      </c>
      <c r="G95" s="276">
        <v>0</v>
      </c>
      <c r="H95" s="276">
        <v>17</v>
      </c>
      <c r="I95" s="276">
        <v>22</v>
      </c>
      <c r="J95" s="276">
        <v>1</v>
      </c>
      <c r="K95" s="276">
        <v>40</v>
      </c>
      <c r="L95" s="276">
        <v>22.5</v>
      </c>
      <c r="M95" s="277">
        <v>50.63</v>
      </c>
    </row>
    <row r="96" spans="1:13" ht="14.25">
      <c r="A96" s="278">
        <v>11120</v>
      </c>
      <c r="B96" s="279" t="s">
        <v>164</v>
      </c>
      <c r="C96" s="279" t="s">
        <v>149</v>
      </c>
      <c r="D96" s="279" t="s">
        <v>150</v>
      </c>
      <c r="E96" s="280">
        <v>2.8</v>
      </c>
      <c r="F96" s="280" t="s">
        <v>119</v>
      </c>
      <c r="G96" s="280">
        <v>0</v>
      </c>
      <c r="H96" s="280">
        <v>0</v>
      </c>
      <c r="I96" s="280">
        <v>16</v>
      </c>
      <c r="J96" s="280">
        <v>0</v>
      </c>
      <c r="K96" s="280">
        <v>16</v>
      </c>
      <c r="L96" s="280">
        <v>16</v>
      </c>
      <c r="M96" s="281">
        <v>44.8</v>
      </c>
    </row>
    <row r="97" spans="1:13" ht="14.25">
      <c r="A97" s="274">
        <v>11120</v>
      </c>
      <c r="B97" s="275" t="s">
        <v>164</v>
      </c>
      <c r="C97" s="275" t="s">
        <v>149</v>
      </c>
      <c r="D97" s="275" t="s">
        <v>150</v>
      </c>
      <c r="E97" s="276">
        <v>2.8</v>
      </c>
      <c r="F97" s="276" t="s">
        <v>122</v>
      </c>
      <c r="G97" s="276">
        <v>0</v>
      </c>
      <c r="H97" s="276">
        <v>19</v>
      </c>
      <c r="I97" s="276">
        <v>44</v>
      </c>
      <c r="J97" s="276">
        <v>1</v>
      </c>
      <c r="K97" s="276">
        <v>64</v>
      </c>
      <c r="L97" s="276">
        <v>44.5</v>
      </c>
      <c r="M97" s="277">
        <v>124.6</v>
      </c>
    </row>
    <row r="98" spans="1:13" ht="14.25">
      <c r="A98" s="278">
        <v>11120</v>
      </c>
      <c r="B98" s="279" t="s">
        <v>164</v>
      </c>
      <c r="C98" s="279" t="s">
        <v>151</v>
      </c>
      <c r="D98" s="279" t="s">
        <v>152</v>
      </c>
      <c r="E98" s="280">
        <v>2.8</v>
      </c>
      <c r="F98" s="280" t="s">
        <v>119</v>
      </c>
      <c r="G98" s="280">
        <v>0</v>
      </c>
      <c r="H98" s="280">
        <v>1</v>
      </c>
      <c r="I98" s="280">
        <v>27</v>
      </c>
      <c r="J98" s="280">
        <v>0</v>
      </c>
      <c r="K98" s="280">
        <v>28</v>
      </c>
      <c r="L98" s="280">
        <v>27</v>
      </c>
      <c r="M98" s="281">
        <v>75.6</v>
      </c>
    </row>
    <row r="99" spans="1:13" ht="14.25">
      <c r="A99" s="274">
        <v>11120</v>
      </c>
      <c r="B99" s="275" t="s">
        <v>164</v>
      </c>
      <c r="C99" s="275" t="s">
        <v>151</v>
      </c>
      <c r="D99" s="275" t="s">
        <v>152</v>
      </c>
      <c r="E99" s="276">
        <v>2.8</v>
      </c>
      <c r="F99" s="276" t="s">
        <v>122</v>
      </c>
      <c r="G99" s="276">
        <v>0</v>
      </c>
      <c r="H99" s="276">
        <v>38</v>
      </c>
      <c r="I99" s="276">
        <v>43</v>
      </c>
      <c r="J99" s="276">
        <v>0</v>
      </c>
      <c r="K99" s="276">
        <v>81</v>
      </c>
      <c r="L99" s="276">
        <v>43</v>
      </c>
      <c r="M99" s="277">
        <v>120.4</v>
      </c>
    </row>
    <row r="100" spans="1:13" ht="14.25">
      <c r="A100" s="278">
        <v>11120</v>
      </c>
      <c r="B100" s="279" t="s">
        <v>164</v>
      </c>
      <c r="C100" s="279" t="s">
        <v>153</v>
      </c>
      <c r="D100" s="279" t="s">
        <v>154</v>
      </c>
      <c r="E100" s="280">
        <v>2.8</v>
      </c>
      <c r="F100" s="280" t="s">
        <v>119</v>
      </c>
      <c r="G100" s="280">
        <v>0</v>
      </c>
      <c r="H100" s="280">
        <v>1</v>
      </c>
      <c r="I100" s="280">
        <v>1</v>
      </c>
      <c r="J100" s="280">
        <v>0</v>
      </c>
      <c r="K100" s="280">
        <v>2</v>
      </c>
      <c r="L100" s="280">
        <v>1</v>
      </c>
      <c r="M100" s="281">
        <v>2.8</v>
      </c>
    </row>
    <row r="101" spans="1:13" ht="14.25">
      <c r="A101" s="274">
        <v>11120</v>
      </c>
      <c r="B101" s="275" t="s">
        <v>164</v>
      </c>
      <c r="C101" s="275" t="s">
        <v>153</v>
      </c>
      <c r="D101" s="275" t="s">
        <v>154</v>
      </c>
      <c r="E101" s="276">
        <v>2.8</v>
      </c>
      <c r="F101" s="276" t="s">
        <v>122</v>
      </c>
      <c r="G101" s="276">
        <v>0</v>
      </c>
      <c r="H101" s="276">
        <v>4</v>
      </c>
      <c r="I101" s="276">
        <v>5</v>
      </c>
      <c r="J101" s="276">
        <v>0</v>
      </c>
      <c r="K101" s="276">
        <v>9</v>
      </c>
      <c r="L101" s="276">
        <v>5</v>
      </c>
      <c r="M101" s="277">
        <v>14</v>
      </c>
    </row>
    <row r="102" spans="1:13" ht="14.25">
      <c r="A102" s="278">
        <v>11120</v>
      </c>
      <c r="B102" s="279" t="s">
        <v>164</v>
      </c>
      <c r="C102" s="279" t="s">
        <v>161</v>
      </c>
      <c r="D102" s="279" t="s">
        <v>162</v>
      </c>
      <c r="E102" s="280">
        <v>2.25</v>
      </c>
      <c r="F102" s="280" t="s">
        <v>122</v>
      </c>
      <c r="G102" s="280">
        <v>0</v>
      </c>
      <c r="H102" s="280">
        <v>1</v>
      </c>
      <c r="I102" s="280">
        <v>2</v>
      </c>
      <c r="J102" s="280">
        <v>0</v>
      </c>
      <c r="K102" s="280">
        <v>3</v>
      </c>
      <c r="L102" s="280">
        <v>2</v>
      </c>
      <c r="M102" s="281">
        <v>4.5</v>
      </c>
    </row>
    <row r="103" spans="1:13" ht="9.75">
      <c r="A103" s="282">
        <v>11120</v>
      </c>
      <c r="B103" s="283" t="s">
        <v>163</v>
      </c>
      <c r="C103" s="283"/>
      <c r="D103" s="283"/>
      <c r="E103" s="283"/>
      <c r="F103" s="284" t="s">
        <v>132</v>
      </c>
      <c r="G103" s="284">
        <v>90</v>
      </c>
      <c r="H103" s="284">
        <v>1</v>
      </c>
      <c r="I103" s="284">
        <v>57</v>
      </c>
      <c r="J103" s="284">
        <v>3</v>
      </c>
      <c r="K103" s="284">
        <v>151</v>
      </c>
      <c r="L103" s="284"/>
      <c r="M103" s="1052"/>
    </row>
    <row r="104" spans="1:13" ht="9.75">
      <c r="A104" s="282">
        <v>11120</v>
      </c>
      <c r="B104" s="283" t="s">
        <v>163</v>
      </c>
      <c r="C104" s="283"/>
      <c r="D104" s="283"/>
      <c r="E104" s="283"/>
      <c r="F104" s="284" t="s">
        <v>109</v>
      </c>
      <c r="G104" s="284">
        <v>0</v>
      </c>
      <c r="H104" s="284">
        <v>27</v>
      </c>
      <c r="I104" s="284">
        <v>243</v>
      </c>
      <c r="J104" s="284">
        <v>8</v>
      </c>
      <c r="K104" s="284">
        <v>278</v>
      </c>
      <c r="L104" s="284"/>
      <c r="M104" s="1052"/>
    </row>
    <row r="105" spans="1:13" ht="9.75">
      <c r="A105" s="282">
        <v>11120</v>
      </c>
      <c r="B105" s="283" t="s">
        <v>163</v>
      </c>
      <c r="C105" s="283"/>
      <c r="D105" s="283"/>
      <c r="E105" s="283"/>
      <c r="F105" s="284" t="s">
        <v>110</v>
      </c>
      <c r="G105" s="284">
        <v>162</v>
      </c>
      <c r="H105" s="284">
        <v>0</v>
      </c>
      <c r="I105" s="284">
        <v>53</v>
      </c>
      <c r="J105" s="284">
        <v>0</v>
      </c>
      <c r="K105" s="284">
        <v>215</v>
      </c>
      <c r="L105" s="284"/>
      <c r="M105" s="1052"/>
    </row>
    <row r="106" spans="1:13" ht="9.75">
      <c r="A106" s="282">
        <v>11120</v>
      </c>
      <c r="B106" s="283" t="s">
        <v>163</v>
      </c>
      <c r="C106" s="283"/>
      <c r="D106" s="283"/>
      <c r="E106" s="283"/>
      <c r="F106" s="284" t="s">
        <v>113</v>
      </c>
      <c r="G106" s="284">
        <v>0</v>
      </c>
      <c r="H106" s="284">
        <v>26</v>
      </c>
      <c r="I106" s="284">
        <v>848</v>
      </c>
      <c r="J106" s="284">
        <v>4</v>
      </c>
      <c r="K106" s="284">
        <v>878</v>
      </c>
      <c r="L106" s="284"/>
      <c r="M106" s="1052"/>
    </row>
    <row r="107" spans="1:13" ht="9.75">
      <c r="A107" s="282">
        <v>11120</v>
      </c>
      <c r="B107" s="283" t="s">
        <v>163</v>
      </c>
      <c r="C107" s="283"/>
      <c r="D107" s="283"/>
      <c r="E107" s="283"/>
      <c r="F107" s="284" t="s">
        <v>116</v>
      </c>
      <c r="G107" s="284">
        <v>0</v>
      </c>
      <c r="H107" s="284">
        <v>0</v>
      </c>
      <c r="I107" s="284">
        <v>27</v>
      </c>
      <c r="J107" s="284">
        <v>0</v>
      </c>
      <c r="K107" s="284">
        <v>27</v>
      </c>
      <c r="L107" s="284"/>
      <c r="M107" s="1052"/>
    </row>
    <row r="108" spans="1:13" ht="9.75">
      <c r="A108" s="282">
        <v>11120</v>
      </c>
      <c r="B108" s="283" t="s">
        <v>163</v>
      </c>
      <c r="C108" s="283"/>
      <c r="D108" s="283"/>
      <c r="E108" s="283"/>
      <c r="F108" s="284" t="s">
        <v>114</v>
      </c>
      <c r="G108" s="284">
        <v>0</v>
      </c>
      <c r="H108" s="284">
        <v>0</v>
      </c>
      <c r="I108" s="284">
        <v>0</v>
      </c>
      <c r="J108" s="284">
        <v>0</v>
      </c>
      <c r="K108" s="284">
        <v>0</v>
      </c>
      <c r="L108" s="284"/>
      <c r="M108" s="1052"/>
    </row>
    <row r="109" spans="1:13" ht="9.75">
      <c r="A109" s="282">
        <v>11120</v>
      </c>
      <c r="B109" s="283" t="s">
        <v>163</v>
      </c>
      <c r="C109" s="283"/>
      <c r="D109" s="283"/>
      <c r="E109" s="283"/>
      <c r="F109" s="284" t="s">
        <v>119</v>
      </c>
      <c r="G109" s="284">
        <v>0</v>
      </c>
      <c r="H109" s="284">
        <v>12</v>
      </c>
      <c r="I109" s="284">
        <v>79</v>
      </c>
      <c r="J109" s="284">
        <v>0</v>
      </c>
      <c r="K109" s="284">
        <v>91</v>
      </c>
      <c r="L109" s="284"/>
      <c r="M109" s="1052"/>
    </row>
    <row r="110" spans="1:13" ht="9.75">
      <c r="A110" s="282">
        <v>11120</v>
      </c>
      <c r="B110" s="283" t="s">
        <v>163</v>
      </c>
      <c r="C110" s="283"/>
      <c r="D110" s="283"/>
      <c r="E110" s="283"/>
      <c r="F110" s="284" t="s">
        <v>122</v>
      </c>
      <c r="G110" s="284">
        <v>0</v>
      </c>
      <c r="H110" s="284">
        <v>110</v>
      </c>
      <c r="I110" s="284">
        <v>150</v>
      </c>
      <c r="J110" s="284">
        <v>3</v>
      </c>
      <c r="K110" s="284">
        <v>263</v>
      </c>
      <c r="L110" s="284"/>
      <c r="M110" s="1052"/>
    </row>
    <row r="111" spans="1:13" ht="14.25">
      <c r="A111" s="274">
        <v>11130</v>
      </c>
      <c r="B111" s="275" t="s">
        <v>165</v>
      </c>
      <c r="C111" s="275" t="s">
        <v>793</v>
      </c>
      <c r="D111" s="275" t="s">
        <v>787</v>
      </c>
      <c r="E111" s="276">
        <v>2.25</v>
      </c>
      <c r="F111" s="276" t="s">
        <v>132</v>
      </c>
      <c r="G111" s="276">
        <v>24</v>
      </c>
      <c r="H111" s="276">
        <v>1</v>
      </c>
      <c r="I111" s="276">
        <v>11</v>
      </c>
      <c r="J111" s="276">
        <v>0</v>
      </c>
      <c r="K111" s="276">
        <v>36</v>
      </c>
      <c r="L111" s="276">
        <v>35</v>
      </c>
      <c r="M111" s="277">
        <v>78.75</v>
      </c>
    </row>
    <row r="112" spans="1:13" ht="14.25">
      <c r="A112" s="278">
        <v>11130</v>
      </c>
      <c r="B112" s="279" t="s">
        <v>165</v>
      </c>
      <c r="C112" s="279" t="s">
        <v>794</v>
      </c>
      <c r="D112" s="279" t="s">
        <v>795</v>
      </c>
      <c r="E112" s="280">
        <v>2.25</v>
      </c>
      <c r="F112" s="280" t="s">
        <v>132</v>
      </c>
      <c r="G112" s="280">
        <v>18</v>
      </c>
      <c r="H112" s="280">
        <v>1</v>
      </c>
      <c r="I112" s="280">
        <v>8</v>
      </c>
      <c r="J112" s="280">
        <v>0</v>
      </c>
      <c r="K112" s="280">
        <v>27</v>
      </c>
      <c r="L112" s="280">
        <v>26</v>
      </c>
      <c r="M112" s="281">
        <v>58.5</v>
      </c>
    </row>
    <row r="113" spans="1:13" ht="14.25">
      <c r="A113" s="274">
        <v>11130</v>
      </c>
      <c r="B113" s="275" t="s">
        <v>165</v>
      </c>
      <c r="C113" s="275" t="s">
        <v>796</v>
      </c>
      <c r="D113" s="275" t="s">
        <v>797</v>
      </c>
      <c r="E113" s="276">
        <v>2.25</v>
      </c>
      <c r="F113" s="276" t="s">
        <v>132</v>
      </c>
      <c r="G113" s="276">
        <v>10</v>
      </c>
      <c r="H113" s="276">
        <v>1</v>
      </c>
      <c r="I113" s="276">
        <v>10</v>
      </c>
      <c r="J113" s="276">
        <v>2</v>
      </c>
      <c r="K113" s="276">
        <v>23</v>
      </c>
      <c r="L113" s="276">
        <v>21</v>
      </c>
      <c r="M113" s="277">
        <v>47.25</v>
      </c>
    </row>
    <row r="114" spans="1:13" ht="14.25">
      <c r="A114" s="278">
        <v>11130</v>
      </c>
      <c r="B114" s="279" t="s">
        <v>165</v>
      </c>
      <c r="C114" s="279" t="s">
        <v>130</v>
      </c>
      <c r="D114" s="279" t="s">
        <v>131</v>
      </c>
      <c r="E114" s="280">
        <v>2.25</v>
      </c>
      <c r="F114" s="280" t="s">
        <v>109</v>
      </c>
      <c r="G114" s="280">
        <v>0</v>
      </c>
      <c r="H114" s="280">
        <v>3</v>
      </c>
      <c r="I114" s="280">
        <v>38</v>
      </c>
      <c r="J114" s="280">
        <v>3</v>
      </c>
      <c r="K114" s="280">
        <v>44</v>
      </c>
      <c r="L114" s="280">
        <v>39.5</v>
      </c>
      <c r="M114" s="281">
        <v>88.88</v>
      </c>
    </row>
    <row r="115" spans="1:13" ht="14.25">
      <c r="A115" s="274">
        <v>11130</v>
      </c>
      <c r="B115" s="275" t="s">
        <v>165</v>
      </c>
      <c r="C115" s="275" t="s">
        <v>95</v>
      </c>
      <c r="D115" s="275" t="s">
        <v>18</v>
      </c>
      <c r="E115" s="276">
        <v>2.25</v>
      </c>
      <c r="F115" s="276" t="s">
        <v>109</v>
      </c>
      <c r="G115" s="276">
        <v>0</v>
      </c>
      <c r="H115" s="276">
        <v>4</v>
      </c>
      <c r="I115" s="276">
        <v>61</v>
      </c>
      <c r="J115" s="276">
        <v>0</v>
      </c>
      <c r="K115" s="276">
        <v>65</v>
      </c>
      <c r="L115" s="276">
        <v>61</v>
      </c>
      <c r="M115" s="277">
        <v>137.25</v>
      </c>
    </row>
    <row r="116" spans="1:13" ht="14.25">
      <c r="A116" s="278">
        <v>11130</v>
      </c>
      <c r="B116" s="279" t="s">
        <v>165</v>
      </c>
      <c r="C116" s="279" t="s">
        <v>9</v>
      </c>
      <c r="D116" s="279" t="s">
        <v>10</v>
      </c>
      <c r="E116" s="280">
        <v>2.8</v>
      </c>
      <c r="F116" s="280" t="s">
        <v>110</v>
      </c>
      <c r="G116" s="280">
        <v>184</v>
      </c>
      <c r="H116" s="280">
        <v>1</v>
      </c>
      <c r="I116" s="280">
        <v>40</v>
      </c>
      <c r="J116" s="280">
        <v>0</v>
      </c>
      <c r="K116" s="280">
        <v>225</v>
      </c>
      <c r="L116" s="280">
        <v>224</v>
      </c>
      <c r="M116" s="281">
        <v>627.2</v>
      </c>
    </row>
    <row r="117" spans="1:13" ht="14.25">
      <c r="A117" s="274">
        <v>11130</v>
      </c>
      <c r="B117" s="275" t="s">
        <v>165</v>
      </c>
      <c r="C117" s="275" t="s">
        <v>9</v>
      </c>
      <c r="D117" s="275" t="s">
        <v>10</v>
      </c>
      <c r="E117" s="276">
        <v>2.8</v>
      </c>
      <c r="F117" s="276" t="s">
        <v>113</v>
      </c>
      <c r="G117" s="276">
        <v>0</v>
      </c>
      <c r="H117" s="276">
        <v>15</v>
      </c>
      <c r="I117" s="276">
        <v>808</v>
      </c>
      <c r="J117" s="276">
        <v>3</v>
      </c>
      <c r="K117" s="276">
        <v>826</v>
      </c>
      <c r="L117" s="276">
        <v>809.5</v>
      </c>
      <c r="M117" s="277">
        <v>2266.6</v>
      </c>
    </row>
    <row r="118" spans="1:13" ht="14.25">
      <c r="A118" s="278">
        <v>11130</v>
      </c>
      <c r="B118" s="279" t="s">
        <v>165</v>
      </c>
      <c r="C118" s="279" t="s">
        <v>98</v>
      </c>
      <c r="D118" s="279" t="s">
        <v>18</v>
      </c>
      <c r="E118" s="280">
        <v>2.25</v>
      </c>
      <c r="F118" s="280" t="s">
        <v>116</v>
      </c>
      <c r="G118" s="280">
        <v>0</v>
      </c>
      <c r="H118" s="280">
        <v>0</v>
      </c>
      <c r="I118" s="280">
        <v>28</v>
      </c>
      <c r="J118" s="280">
        <v>0</v>
      </c>
      <c r="K118" s="280">
        <v>28</v>
      </c>
      <c r="L118" s="280">
        <v>28</v>
      </c>
      <c r="M118" s="281">
        <v>63</v>
      </c>
    </row>
    <row r="119" spans="1:13" ht="14.25">
      <c r="A119" s="274">
        <v>11130</v>
      </c>
      <c r="B119" s="275" t="s">
        <v>165</v>
      </c>
      <c r="C119" s="275" t="s">
        <v>98</v>
      </c>
      <c r="D119" s="275" t="s">
        <v>18</v>
      </c>
      <c r="E119" s="276">
        <v>2.25</v>
      </c>
      <c r="F119" s="276" t="s">
        <v>114</v>
      </c>
      <c r="G119" s="276">
        <v>0</v>
      </c>
      <c r="H119" s="276">
        <v>0</v>
      </c>
      <c r="I119" s="276">
        <v>28</v>
      </c>
      <c r="J119" s="276">
        <v>0</v>
      </c>
      <c r="K119" s="276">
        <v>28</v>
      </c>
      <c r="L119" s="276">
        <v>28</v>
      </c>
      <c r="M119" s="277">
        <v>63</v>
      </c>
    </row>
    <row r="120" spans="1:13" ht="14.25">
      <c r="A120" s="278">
        <v>11130</v>
      </c>
      <c r="B120" s="279" t="s">
        <v>165</v>
      </c>
      <c r="C120" s="279" t="s">
        <v>798</v>
      </c>
      <c r="D120" s="279" t="s">
        <v>799</v>
      </c>
      <c r="E120" s="280">
        <v>2.25</v>
      </c>
      <c r="F120" s="280" t="s">
        <v>119</v>
      </c>
      <c r="G120" s="280">
        <v>0</v>
      </c>
      <c r="H120" s="280">
        <v>2</v>
      </c>
      <c r="I120" s="280">
        <v>16</v>
      </c>
      <c r="J120" s="280">
        <v>0</v>
      </c>
      <c r="K120" s="280">
        <v>18</v>
      </c>
      <c r="L120" s="280">
        <v>16</v>
      </c>
      <c r="M120" s="281">
        <v>36</v>
      </c>
    </row>
    <row r="121" spans="1:13" ht="14.25">
      <c r="A121" s="274">
        <v>11130</v>
      </c>
      <c r="B121" s="275" t="s">
        <v>165</v>
      </c>
      <c r="C121" s="275" t="s">
        <v>135</v>
      </c>
      <c r="D121" s="275" t="s">
        <v>136</v>
      </c>
      <c r="E121" s="276">
        <v>2.8</v>
      </c>
      <c r="F121" s="276" t="s">
        <v>119</v>
      </c>
      <c r="G121" s="276">
        <v>0</v>
      </c>
      <c r="H121" s="276">
        <v>0</v>
      </c>
      <c r="I121" s="276">
        <v>1</v>
      </c>
      <c r="J121" s="276">
        <v>0</v>
      </c>
      <c r="K121" s="276">
        <v>1</v>
      </c>
      <c r="L121" s="276">
        <v>1</v>
      </c>
      <c r="M121" s="277">
        <v>2.8</v>
      </c>
    </row>
    <row r="122" spans="1:13" ht="14.25">
      <c r="A122" s="278">
        <v>11130</v>
      </c>
      <c r="B122" s="279" t="s">
        <v>165</v>
      </c>
      <c r="C122" s="279" t="s">
        <v>135</v>
      </c>
      <c r="D122" s="279" t="s">
        <v>136</v>
      </c>
      <c r="E122" s="280">
        <v>2.8</v>
      </c>
      <c r="F122" s="280" t="s">
        <v>122</v>
      </c>
      <c r="G122" s="280">
        <v>0</v>
      </c>
      <c r="H122" s="280">
        <v>5</v>
      </c>
      <c r="I122" s="280">
        <v>11</v>
      </c>
      <c r="J122" s="280">
        <v>0</v>
      </c>
      <c r="K122" s="280">
        <v>16</v>
      </c>
      <c r="L122" s="280">
        <v>11</v>
      </c>
      <c r="M122" s="281">
        <v>30.8</v>
      </c>
    </row>
    <row r="123" spans="1:13" ht="14.25">
      <c r="A123" s="274">
        <v>11130</v>
      </c>
      <c r="B123" s="275" t="s">
        <v>165</v>
      </c>
      <c r="C123" s="275" t="s">
        <v>75</v>
      </c>
      <c r="D123" s="275" t="s">
        <v>76</v>
      </c>
      <c r="E123" s="276">
        <v>2.8</v>
      </c>
      <c r="F123" s="276" t="s">
        <v>122</v>
      </c>
      <c r="G123" s="276">
        <v>0</v>
      </c>
      <c r="H123" s="276">
        <v>0</v>
      </c>
      <c r="I123" s="276">
        <v>1</v>
      </c>
      <c r="J123" s="276">
        <v>0</v>
      </c>
      <c r="K123" s="276">
        <v>1</v>
      </c>
      <c r="L123" s="276">
        <v>1</v>
      </c>
      <c r="M123" s="277">
        <v>2.8</v>
      </c>
    </row>
    <row r="124" spans="1:13" ht="14.25">
      <c r="A124" s="278">
        <v>11130</v>
      </c>
      <c r="B124" s="279" t="s">
        <v>165</v>
      </c>
      <c r="C124" s="279" t="s">
        <v>137</v>
      </c>
      <c r="D124" s="279" t="s">
        <v>138</v>
      </c>
      <c r="E124" s="280">
        <v>2.25</v>
      </c>
      <c r="F124" s="280" t="s">
        <v>119</v>
      </c>
      <c r="G124" s="280">
        <v>0</v>
      </c>
      <c r="H124" s="280">
        <v>0</v>
      </c>
      <c r="I124" s="280">
        <v>1</v>
      </c>
      <c r="J124" s="280">
        <v>0</v>
      </c>
      <c r="K124" s="280">
        <v>1</v>
      </c>
      <c r="L124" s="280">
        <v>1</v>
      </c>
      <c r="M124" s="281">
        <v>2.25</v>
      </c>
    </row>
    <row r="125" spans="1:13" ht="14.25">
      <c r="A125" s="274">
        <v>11130</v>
      </c>
      <c r="B125" s="275" t="s">
        <v>165</v>
      </c>
      <c r="C125" s="275" t="s">
        <v>137</v>
      </c>
      <c r="D125" s="275" t="s">
        <v>138</v>
      </c>
      <c r="E125" s="276">
        <v>2.25</v>
      </c>
      <c r="F125" s="276" t="s">
        <v>122</v>
      </c>
      <c r="G125" s="276">
        <v>0</v>
      </c>
      <c r="H125" s="276">
        <v>1</v>
      </c>
      <c r="I125" s="276">
        <v>1</v>
      </c>
      <c r="J125" s="276">
        <v>0</v>
      </c>
      <c r="K125" s="276">
        <v>2</v>
      </c>
      <c r="L125" s="276">
        <v>1</v>
      </c>
      <c r="M125" s="277">
        <v>2.25</v>
      </c>
    </row>
    <row r="126" spans="1:13" ht="14.25">
      <c r="A126" s="278">
        <v>11130</v>
      </c>
      <c r="B126" s="279" t="s">
        <v>165</v>
      </c>
      <c r="C126" s="279" t="s">
        <v>139</v>
      </c>
      <c r="D126" s="279" t="s">
        <v>140</v>
      </c>
      <c r="E126" s="280">
        <v>2.25</v>
      </c>
      <c r="F126" s="280" t="s">
        <v>119</v>
      </c>
      <c r="G126" s="280">
        <v>0</v>
      </c>
      <c r="H126" s="280">
        <v>0</v>
      </c>
      <c r="I126" s="280">
        <v>1</v>
      </c>
      <c r="J126" s="280">
        <v>0</v>
      </c>
      <c r="K126" s="280">
        <v>1</v>
      </c>
      <c r="L126" s="280">
        <v>1</v>
      </c>
      <c r="M126" s="281">
        <v>2.25</v>
      </c>
    </row>
    <row r="127" spans="1:13" ht="14.25">
      <c r="A127" s="274">
        <v>11130</v>
      </c>
      <c r="B127" s="275" t="s">
        <v>165</v>
      </c>
      <c r="C127" s="275" t="s">
        <v>139</v>
      </c>
      <c r="D127" s="275" t="s">
        <v>140</v>
      </c>
      <c r="E127" s="276">
        <v>2.25</v>
      </c>
      <c r="F127" s="276" t="s">
        <v>122</v>
      </c>
      <c r="G127" s="276">
        <v>0</v>
      </c>
      <c r="H127" s="276">
        <v>8</v>
      </c>
      <c r="I127" s="276">
        <v>10</v>
      </c>
      <c r="J127" s="276">
        <v>0</v>
      </c>
      <c r="K127" s="276">
        <v>18</v>
      </c>
      <c r="L127" s="276">
        <v>10</v>
      </c>
      <c r="M127" s="277">
        <v>22.5</v>
      </c>
    </row>
    <row r="128" spans="1:13" ht="14.25">
      <c r="A128" s="278">
        <v>11130</v>
      </c>
      <c r="B128" s="279" t="s">
        <v>165</v>
      </c>
      <c r="C128" s="279" t="s">
        <v>77</v>
      </c>
      <c r="D128" s="279" t="s">
        <v>78</v>
      </c>
      <c r="E128" s="280">
        <v>2.25</v>
      </c>
      <c r="F128" s="280" t="s">
        <v>119</v>
      </c>
      <c r="G128" s="280">
        <v>0</v>
      </c>
      <c r="H128" s="280">
        <v>0</v>
      </c>
      <c r="I128" s="280">
        <v>5</v>
      </c>
      <c r="J128" s="280">
        <v>0</v>
      </c>
      <c r="K128" s="280">
        <v>5</v>
      </c>
      <c r="L128" s="280">
        <v>5</v>
      </c>
      <c r="M128" s="281">
        <v>11.25</v>
      </c>
    </row>
    <row r="129" spans="1:13" ht="14.25">
      <c r="A129" s="274">
        <v>11130</v>
      </c>
      <c r="B129" s="275" t="s">
        <v>165</v>
      </c>
      <c r="C129" s="275" t="s">
        <v>77</v>
      </c>
      <c r="D129" s="275" t="s">
        <v>78</v>
      </c>
      <c r="E129" s="276">
        <v>2.25</v>
      </c>
      <c r="F129" s="276" t="s">
        <v>122</v>
      </c>
      <c r="G129" s="276">
        <v>0</v>
      </c>
      <c r="H129" s="276">
        <v>5</v>
      </c>
      <c r="I129" s="276">
        <v>21</v>
      </c>
      <c r="J129" s="276">
        <v>1</v>
      </c>
      <c r="K129" s="276">
        <v>27</v>
      </c>
      <c r="L129" s="276">
        <v>21.5</v>
      </c>
      <c r="M129" s="277">
        <v>48.38</v>
      </c>
    </row>
    <row r="130" spans="1:13" ht="14.25">
      <c r="A130" s="278">
        <v>11130</v>
      </c>
      <c r="B130" s="279" t="s">
        <v>165</v>
      </c>
      <c r="C130" s="279" t="s">
        <v>145</v>
      </c>
      <c r="D130" s="279" t="s">
        <v>146</v>
      </c>
      <c r="E130" s="280">
        <v>1.65</v>
      </c>
      <c r="F130" s="280" t="s">
        <v>119</v>
      </c>
      <c r="G130" s="280">
        <v>0</v>
      </c>
      <c r="H130" s="280">
        <v>1</v>
      </c>
      <c r="I130" s="280">
        <v>3</v>
      </c>
      <c r="J130" s="280">
        <v>0</v>
      </c>
      <c r="K130" s="280">
        <v>4</v>
      </c>
      <c r="L130" s="280">
        <v>3</v>
      </c>
      <c r="M130" s="281">
        <v>4.95</v>
      </c>
    </row>
    <row r="131" spans="1:13" ht="14.25">
      <c r="A131" s="274">
        <v>11130</v>
      </c>
      <c r="B131" s="275" t="s">
        <v>165</v>
      </c>
      <c r="C131" s="275" t="s">
        <v>145</v>
      </c>
      <c r="D131" s="275" t="s">
        <v>146</v>
      </c>
      <c r="E131" s="276">
        <v>1.65</v>
      </c>
      <c r="F131" s="276" t="s">
        <v>122</v>
      </c>
      <c r="G131" s="276">
        <v>0</v>
      </c>
      <c r="H131" s="276">
        <v>3</v>
      </c>
      <c r="I131" s="276">
        <v>4</v>
      </c>
      <c r="J131" s="276">
        <v>0</v>
      </c>
      <c r="K131" s="276">
        <v>7</v>
      </c>
      <c r="L131" s="276">
        <v>4</v>
      </c>
      <c r="M131" s="277">
        <v>6.6</v>
      </c>
    </row>
    <row r="132" spans="1:13" ht="14.25">
      <c r="A132" s="278">
        <v>11130</v>
      </c>
      <c r="B132" s="279" t="s">
        <v>165</v>
      </c>
      <c r="C132" s="279" t="s">
        <v>13</v>
      </c>
      <c r="D132" s="279" t="s">
        <v>14</v>
      </c>
      <c r="E132" s="280">
        <v>2.8</v>
      </c>
      <c r="F132" s="280" t="s">
        <v>119</v>
      </c>
      <c r="G132" s="280">
        <v>0</v>
      </c>
      <c r="H132" s="280">
        <v>0</v>
      </c>
      <c r="I132" s="280">
        <v>10</v>
      </c>
      <c r="J132" s="280">
        <v>0</v>
      </c>
      <c r="K132" s="280">
        <v>10</v>
      </c>
      <c r="L132" s="280">
        <v>10</v>
      </c>
      <c r="M132" s="281">
        <v>28</v>
      </c>
    </row>
    <row r="133" spans="1:13" ht="14.25">
      <c r="A133" s="274">
        <v>11130</v>
      </c>
      <c r="B133" s="275" t="s">
        <v>165</v>
      </c>
      <c r="C133" s="275" t="s">
        <v>13</v>
      </c>
      <c r="D133" s="275" t="s">
        <v>14</v>
      </c>
      <c r="E133" s="276">
        <v>2.8</v>
      </c>
      <c r="F133" s="276" t="s">
        <v>122</v>
      </c>
      <c r="G133" s="276">
        <v>0</v>
      </c>
      <c r="H133" s="276">
        <v>22</v>
      </c>
      <c r="I133" s="276">
        <v>35</v>
      </c>
      <c r="J133" s="276">
        <v>1</v>
      </c>
      <c r="K133" s="276">
        <v>58</v>
      </c>
      <c r="L133" s="276">
        <v>35.5</v>
      </c>
      <c r="M133" s="277">
        <v>99.4</v>
      </c>
    </row>
    <row r="134" spans="1:13" ht="14.25">
      <c r="A134" s="278">
        <v>11130</v>
      </c>
      <c r="B134" s="279" t="s">
        <v>165</v>
      </c>
      <c r="C134" s="279" t="s">
        <v>15</v>
      </c>
      <c r="D134" s="279" t="s">
        <v>16</v>
      </c>
      <c r="E134" s="280">
        <v>2.25</v>
      </c>
      <c r="F134" s="280" t="s">
        <v>119</v>
      </c>
      <c r="G134" s="280">
        <v>0</v>
      </c>
      <c r="H134" s="280">
        <v>0</v>
      </c>
      <c r="I134" s="280">
        <v>7</v>
      </c>
      <c r="J134" s="280">
        <v>0</v>
      </c>
      <c r="K134" s="280">
        <v>7</v>
      </c>
      <c r="L134" s="280">
        <v>7</v>
      </c>
      <c r="M134" s="281">
        <v>15.75</v>
      </c>
    </row>
    <row r="135" spans="1:13" ht="14.25">
      <c r="A135" s="274">
        <v>11130</v>
      </c>
      <c r="B135" s="275" t="s">
        <v>165</v>
      </c>
      <c r="C135" s="275" t="s">
        <v>15</v>
      </c>
      <c r="D135" s="275" t="s">
        <v>16</v>
      </c>
      <c r="E135" s="276">
        <v>2.25</v>
      </c>
      <c r="F135" s="276" t="s">
        <v>122</v>
      </c>
      <c r="G135" s="276">
        <v>0</v>
      </c>
      <c r="H135" s="276">
        <v>27</v>
      </c>
      <c r="I135" s="276">
        <v>38</v>
      </c>
      <c r="J135" s="276">
        <v>0</v>
      </c>
      <c r="K135" s="276">
        <v>65</v>
      </c>
      <c r="L135" s="276">
        <v>38</v>
      </c>
      <c r="M135" s="277">
        <v>85.5</v>
      </c>
    </row>
    <row r="136" spans="1:13" ht="14.25">
      <c r="A136" s="278">
        <v>11130</v>
      </c>
      <c r="B136" s="279" t="s">
        <v>165</v>
      </c>
      <c r="C136" s="279" t="s">
        <v>149</v>
      </c>
      <c r="D136" s="279" t="s">
        <v>150</v>
      </c>
      <c r="E136" s="280">
        <v>2.8</v>
      </c>
      <c r="F136" s="280" t="s">
        <v>119</v>
      </c>
      <c r="G136" s="280">
        <v>0</v>
      </c>
      <c r="H136" s="280">
        <v>0</v>
      </c>
      <c r="I136" s="280">
        <v>9</v>
      </c>
      <c r="J136" s="280">
        <v>0</v>
      </c>
      <c r="K136" s="280">
        <v>9</v>
      </c>
      <c r="L136" s="280">
        <v>9</v>
      </c>
      <c r="M136" s="281">
        <v>25.2</v>
      </c>
    </row>
    <row r="137" spans="1:13" ht="14.25">
      <c r="A137" s="274">
        <v>11130</v>
      </c>
      <c r="B137" s="275" t="s">
        <v>165</v>
      </c>
      <c r="C137" s="275" t="s">
        <v>149</v>
      </c>
      <c r="D137" s="275" t="s">
        <v>150</v>
      </c>
      <c r="E137" s="276">
        <v>2.8</v>
      </c>
      <c r="F137" s="276" t="s">
        <v>122</v>
      </c>
      <c r="G137" s="276">
        <v>0</v>
      </c>
      <c r="H137" s="276">
        <v>22</v>
      </c>
      <c r="I137" s="276">
        <v>31</v>
      </c>
      <c r="J137" s="276">
        <v>1</v>
      </c>
      <c r="K137" s="276">
        <v>54</v>
      </c>
      <c r="L137" s="276">
        <v>31.5</v>
      </c>
      <c r="M137" s="277">
        <v>88.2</v>
      </c>
    </row>
    <row r="138" spans="1:13" ht="14.25">
      <c r="A138" s="278">
        <v>11130</v>
      </c>
      <c r="B138" s="279" t="s">
        <v>165</v>
      </c>
      <c r="C138" s="279" t="s">
        <v>151</v>
      </c>
      <c r="D138" s="279" t="s">
        <v>152</v>
      </c>
      <c r="E138" s="280">
        <v>2.8</v>
      </c>
      <c r="F138" s="280" t="s">
        <v>119</v>
      </c>
      <c r="G138" s="280">
        <v>0</v>
      </c>
      <c r="H138" s="280">
        <v>0</v>
      </c>
      <c r="I138" s="280">
        <v>4</v>
      </c>
      <c r="J138" s="280">
        <v>0</v>
      </c>
      <c r="K138" s="280">
        <v>4</v>
      </c>
      <c r="L138" s="280">
        <v>4</v>
      </c>
      <c r="M138" s="281">
        <v>11.2</v>
      </c>
    </row>
    <row r="139" spans="1:13" ht="14.25">
      <c r="A139" s="274">
        <v>11130</v>
      </c>
      <c r="B139" s="275" t="s">
        <v>165</v>
      </c>
      <c r="C139" s="275" t="s">
        <v>151</v>
      </c>
      <c r="D139" s="275" t="s">
        <v>152</v>
      </c>
      <c r="E139" s="276">
        <v>2.8</v>
      </c>
      <c r="F139" s="276" t="s">
        <v>122</v>
      </c>
      <c r="G139" s="276">
        <v>0</v>
      </c>
      <c r="H139" s="276">
        <v>7</v>
      </c>
      <c r="I139" s="276">
        <v>10</v>
      </c>
      <c r="J139" s="276">
        <v>0</v>
      </c>
      <c r="K139" s="276">
        <v>17</v>
      </c>
      <c r="L139" s="276">
        <v>10</v>
      </c>
      <c r="M139" s="277">
        <v>28</v>
      </c>
    </row>
    <row r="140" spans="1:13" ht="14.25">
      <c r="A140" s="278">
        <v>11130</v>
      </c>
      <c r="B140" s="279" t="s">
        <v>165</v>
      </c>
      <c r="C140" s="279" t="s">
        <v>153</v>
      </c>
      <c r="D140" s="279" t="s">
        <v>154</v>
      </c>
      <c r="E140" s="280">
        <v>2.8</v>
      </c>
      <c r="F140" s="280" t="s">
        <v>122</v>
      </c>
      <c r="G140" s="280">
        <v>0</v>
      </c>
      <c r="H140" s="280">
        <v>1</v>
      </c>
      <c r="I140" s="280">
        <v>3</v>
      </c>
      <c r="J140" s="280">
        <v>0</v>
      </c>
      <c r="K140" s="280">
        <v>4</v>
      </c>
      <c r="L140" s="280">
        <v>3</v>
      </c>
      <c r="M140" s="281">
        <v>8.4</v>
      </c>
    </row>
    <row r="141" spans="1:13" ht="14.25">
      <c r="A141" s="274">
        <v>11130</v>
      </c>
      <c r="B141" s="275" t="s">
        <v>165</v>
      </c>
      <c r="C141" s="275" t="s">
        <v>157</v>
      </c>
      <c r="D141" s="275" t="s">
        <v>158</v>
      </c>
      <c r="E141" s="276">
        <v>2.8</v>
      </c>
      <c r="F141" s="276" t="s">
        <v>119</v>
      </c>
      <c r="G141" s="276">
        <v>0</v>
      </c>
      <c r="H141" s="276">
        <v>1</v>
      </c>
      <c r="I141" s="276">
        <v>2</v>
      </c>
      <c r="J141" s="276">
        <v>0</v>
      </c>
      <c r="K141" s="276">
        <v>3</v>
      </c>
      <c r="L141" s="276">
        <v>2</v>
      </c>
      <c r="M141" s="277">
        <v>5.6</v>
      </c>
    </row>
    <row r="142" spans="1:13" ht="14.25">
      <c r="A142" s="278">
        <v>11130</v>
      </c>
      <c r="B142" s="279" t="s">
        <v>165</v>
      </c>
      <c r="C142" s="279" t="s">
        <v>157</v>
      </c>
      <c r="D142" s="279" t="s">
        <v>158</v>
      </c>
      <c r="E142" s="280">
        <v>2.8</v>
      </c>
      <c r="F142" s="280" t="s">
        <v>122</v>
      </c>
      <c r="G142" s="280">
        <v>0</v>
      </c>
      <c r="H142" s="280">
        <v>4</v>
      </c>
      <c r="I142" s="280">
        <v>6</v>
      </c>
      <c r="J142" s="280">
        <v>0</v>
      </c>
      <c r="K142" s="280">
        <v>10</v>
      </c>
      <c r="L142" s="280">
        <v>6</v>
      </c>
      <c r="M142" s="281">
        <v>16.8</v>
      </c>
    </row>
    <row r="143" spans="1:13" ht="14.25">
      <c r="A143" s="274">
        <v>11130</v>
      </c>
      <c r="B143" s="275" t="s">
        <v>165</v>
      </c>
      <c r="C143" s="275" t="s">
        <v>161</v>
      </c>
      <c r="D143" s="275" t="s">
        <v>162</v>
      </c>
      <c r="E143" s="276">
        <v>2.25</v>
      </c>
      <c r="F143" s="276" t="s">
        <v>119</v>
      </c>
      <c r="G143" s="276">
        <v>0</v>
      </c>
      <c r="H143" s="276">
        <v>0</v>
      </c>
      <c r="I143" s="276">
        <v>2</v>
      </c>
      <c r="J143" s="276">
        <v>1</v>
      </c>
      <c r="K143" s="276">
        <v>3</v>
      </c>
      <c r="L143" s="276">
        <v>2.5</v>
      </c>
      <c r="M143" s="277">
        <v>5.63</v>
      </c>
    </row>
    <row r="144" spans="1:13" ht="14.25">
      <c r="A144" s="278">
        <v>11130</v>
      </c>
      <c r="B144" s="279" t="s">
        <v>165</v>
      </c>
      <c r="C144" s="279" t="s">
        <v>161</v>
      </c>
      <c r="D144" s="279" t="s">
        <v>162</v>
      </c>
      <c r="E144" s="280">
        <v>2.25</v>
      </c>
      <c r="F144" s="280" t="s">
        <v>122</v>
      </c>
      <c r="G144" s="280">
        <v>0</v>
      </c>
      <c r="H144" s="280">
        <v>0</v>
      </c>
      <c r="I144" s="280">
        <v>5</v>
      </c>
      <c r="J144" s="280">
        <v>0</v>
      </c>
      <c r="K144" s="280">
        <v>5</v>
      </c>
      <c r="L144" s="280">
        <v>5</v>
      </c>
      <c r="M144" s="281">
        <v>11.25</v>
      </c>
    </row>
    <row r="145" spans="1:13" ht="9.75">
      <c r="A145" s="282">
        <v>11130</v>
      </c>
      <c r="B145" s="283" t="s">
        <v>163</v>
      </c>
      <c r="C145" s="283"/>
      <c r="D145" s="283"/>
      <c r="E145" s="283"/>
      <c r="F145" s="284" t="s">
        <v>132</v>
      </c>
      <c r="G145" s="284">
        <v>52</v>
      </c>
      <c r="H145" s="284">
        <v>3</v>
      </c>
      <c r="I145" s="284">
        <v>29</v>
      </c>
      <c r="J145" s="284">
        <v>2</v>
      </c>
      <c r="K145" s="284">
        <v>86</v>
      </c>
      <c r="L145" s="284"/>
      <c r="M145" s="1052"/>
    </row>
    <row r="146" spans="1:13" ht="9.75">
      <c r="A146" s="282">
        <v>11130</v>
      </c>
      <c r="B146" s="283" t="s">
        <v>163</v>
      </c>
      <c r="C146" s="283"/>
      <c r="D146" s="283"/>
      <c r="E146" s="283"/>
      <c r="F146" s="284" t="s">
        <v>109</v>
      </c>
      <c r="G146" s="284">
        <v>0</v>
      </c>
      <c r="H146" s="284">
        <v>7</v>
      </c>
      <c r="I146" s="284">
        <v>99</v>
      </c>
      <c r="J146" s="284">
        <v>3</v>
      </c>
      <c r="K146" s="284">
        <v>109</v>
      </c>
      <c r="L146" s="284"/>
      <c r="M146" s="1052"/>
    </row>
    <row r="147" spans="1:13" ht="9.75">
      <c r="A147" s="282">
        <v>11130</v>
      </c>
      <c r="B147" s="283" t="s">
        <v>163</v>
      </c>
      <c r="C147" s="283"/>
      <c r="D147" s="283"/>
      <c r="E147" s="283"/>
      <c r="F147" s="284" t="s">
        <v>110</v>
      </c>
      <c r="G147" s="284">
        <v>184</v>
      </c>
      <c r="H147" s="284">
        <v>1</v>
      </c>
      <c r="I147" s="284">
        <v>40</v>
      </c>
      <c r="J147" s="284">
        <v>0</v>
      </c>
      <c r="K147" s="284">
        <v>225</v>
      </c>
      <c r="L147" s="284"/>
      <c r="M147" s="1052"/>
    </row>
    <row r="148" spans="1:13" ht="9.75">
      <c r="A148" s="282">
        <v>11130</v>
      </c>
      <c r="B148" s="283" t="s">
        <v>163</v>
      </c>
      <c r="C148" s="283"/>
      <c r="D148" s="283"/>
      <c r="E148" s="283"/>
      <c r="F148" s="284" t="s">
        <v>113</v>
      </c>
      <c r="G148" s="284">
        <v>0</v>
      </c>
      <c r="H148" s="284">
        <v>15</v>
      </c>
      <c r="I148" s="284">
        <v>808</v>
      </c>
      <c r="J148" s="284">
        <v>3</v>
      </c>
      <c r="K148" s="284">
        <v>826</v>
      </c>
      <c r="L148" s="284"/>
      <c r="M148" s="1052"/>
    </row>
    <row r="149" spans="1:13" ht="9.75">
      <c r="A149" s="282">
        <v>11130</v>
      </c>
      <c r="B149" s="283" t="s">
        <v>163</v>
      </c>
      <c r="C149" s="283"/>
      <c r="D149" s="283"/>
      <c r="E149" s="283"/>
      <c r="F149" s="284" t="s">
        <v>116</v>
      </c>
      <c r="G149" s="284">
        <v>0</v>
      </c>
      <c r="H149" s="284">
        <v>0</v>
      </c>
      <c r="I149" s="284">
        <v>28</v>
      </c>
      <c r="J149" s="284">
        <v>0</v>
      </c>
      <c r="K149" s="284">
        <v>28</v>
      </c>
      <c r="L149" s="284"/>
      <c r="M149" s="1052"/>
    </row>
    <row r="150" spans="1:13" ht="9.75">
      <c r="A150" s="282">
        <v>11130</v>
      </c>
      <c r="B150" s="283" t="s">
        <v>163</v>
      </c>
      <c r="C150" s="283"/>
      <c r="D150" s="283"/>
      <c r="E150" s="283"/>
      <c r="F150" s="284" t="s">
        <v>114</v>
      </c>
      <c r="G150" s="284">
        <v>0</v>
      </c>
      <c r="H150" s="284">
        <v>0</v>
      </c>
      <c r="I150" s="284">
        <v>28</v>
      </c>
      <c r="J150" s="284">
        <v>0</v>
      </c>
      <c r="K150" s="284">
        <v>28</v>
      </c>
      <c r="L150" s="284"/>
      <c r="M150" s="1052"/>
    </row>
    <row r="151" spans="1:13" ht="9.75">
      <c r="A151" s="282">
        <v>11130</v>
      </c>
      <c r="B151" s="283" t="s">
        <v>163</v>
      </c>
      <c r="C151" s="283"/>
      <c r="D151" s="283"/>
      <c r="E151" s="283"/>
      <c r="F151" s="284" t="s">
        <v>119</v>
      </c>
      <c r="G151" s="284">
        <v>0</v>
      </c>
      <c r="H151" s="284">
        <v>4</v>
      </c>
      <c r="I151" s="284">
        <v>61</v>
      </c>
      <c r="J151" s="284">
        <v>1</v>
      </c>
      <c r="K151" s="284">
        <v>66</v>
      </c>
      <c r="L151" s="284"/>
      <c r="M151" s="1052"/>
    </row>
    <row r="152" spans="1:13" ht="9.75">
      <c r="A152" s="282">
        <v>11130</v>
      </c>
      <c r="B152" s="283" t="s">
        <v>163</v>
      </c>
      <c r="C152" s="283"/>
      <c r="D152" s="283"/>
      <c r="E152" s="283"/>
      <c r="F152" s="284" t="s">
        <v>122</v>
      </c>
      <c r="G152" s="284">
        <v>0</v>
      </c>
      <c r="H152" s="284">
        <v>105</v>
      </c>
      <c r="I152" s="284">
        <v>176</v>
      </c>
      <c r="J152" s="284">
        <v>3</v>
      </c>
      <c r="K152" s="284">
        <v>284</v>
      </c>
      <c r="L152" s="284"/>
      <c r="M152" s="1052"/>
    </row>
    <row r="153" spans="1:13" ht="14.25">
      <c r="A153" s="274">
        <v>11140</v>
      </c>
      <c r="B153" s="275" t="s">
        <v>118</v>
      </c>
      <c r="C153" s="275" t="s">
        <v>800</v>
      </c>
      <c r="D153" s="275" t="s">
        <v>12</v>
      </c>
      <c r="E153" s="276">
        <v>3.5</v>
      </c>
      <c r="F153" s="276" t="s">
        <v>110</v>
      </c>
      <c r="G153" s="276">
        <v>9</v>
      </c>
      <c r="H153" s="276">
        <v>1</v>
      </c>
      <c r="I153" s="276">
        <v>34</v>
      </c>
      <c r="J153" s="276">
        <v>0</v>
      </c>
      <c r="K153" s="276">
        <v>44</v>
      </c>
      <c r="L153" s="276">
        <v>43</v>
      </c>
      <c r="M153" s="277">
        <v>150.5</v>
      </c>
    </row>
    <row r="154" spans="1:13" ht="14.25">
      <c r="A154" s="278">
        <v>11140</v>
      </c>
      <c r="B154" s="279" t="s">
        <v>118</v>
      </c>
      <c r="C154" s="279" t="s">
        <v>9</v>
      </c>
      <c r="D154" s="279" t="s">
        <v>10</v>
      </c>
      <c r="E154" s="280">
        <v>2.8</v>
      </c>
      <c r="F154" s="280" t="s">
        <v>110</v>
      </c>
      <c r="G154" s="280">
        <v>161</v>
      </c>
      <c r="H154" s="280">
        <v>7</v>
      </c>
      <c r="I154" s="280">
        <v>152</v>
      </c>
      <c r="J154" s="280">
        <v>1</v>
      </c>
      <c r="K154" s="280">
        <v>321</v>
      </c>
      <c r="L154" s="280">
        <v>313.5</v>
      </c>
      <c r="M154" s="281">
        <v>877.8</v>
      </c>
    </row>
    <row r="155" spans="1:13" ht="14.25">
      <c r="A155" s="274">
        <v>11140</v>
      </c>
      <c r="B155" s="275" t="s">
        <v>118</v>
      </c>
      <c r="C155" s="275" t="s">
        <v>9</v>
      </c>
      <c r="D155" s="275" t="s">
        <v>10</v>
      </c>
      <c r="E155" s="276">
        <v>2.8</v>
      </c>
      <c r="F155" s="276" t="s">
        <v>113</v>
      </c>
      <c r="G155" s="276">
        <v>0</v>
      </c>
      <c r="H155" s="276">
        <v>71</v>
      </c>
      <c r="I155" s="276">
        <v>935</v>
      </c>
      <c r="J155" s="276">
        <v>13</v>
      </c>
      <c r="K155" s="276">
        <v>1019</v>
      </c>
      <c r="L155" s="276">
        <v>941.5</v>
      </c>
      <c r="M155" s="277">
        <v>2636.2</v>
      </c>
    </row>
    <row r="156" spans="1:13" ht="14.25">
      <c r="A156" s="278">
        <v>11140</v>
      </c>
      <c r="B156" s="279" t="s">
        <v>118</v>
      </c>
      <c r="C156" s="279" t="s">
        <v>11</v>
      </c>
      <c r="D156" s="279" t="s">
        <v>12</v>
      </c>
      <c r="E156" s="280">
        <v>3.5</v>
      </c>
      <c r="F156" s="280" t="s">
        <v>113</v>
      </c>
      <c r="G156" s="280">
        <v>0</v>
      </c>
      <c r="H156" s="280">
        <v>12</v>
      </c>
      <c r="I156" s="280">
        <v>171</v>
      </c>
      <c r="J156" s="280">
        <v>8</v>
      </c>
      <c r="K156" s="280">
        <v>191</v>
      </c>
      <c r="L156" s="280">
        <v>175</v>
      </c>
      <c r="M156" s="281">
        <v>612.5</v>
      </c>
    </row>
    <row r="157" spans="1:13" ht="14.25">
      <c r="A157" s="274">
        <v>11140</v>
      </c>
      <c r="B157" s="275" t="s">
        <v>118</v>
      </c>
      <c r="C157" s="275" t="s">
        <v>783</v>
      </c>
      <c r="D157" s="275" t="s">
        <v>136</v>
      </c>
      <c r="E157" s="276">
        <v>2.8</v>
      </c>
      <c r="F157" s="276" t="s">
        <v>119</v>
      </c>
      <c r="G157" s="276">
        <v>0</v>
      </c>
      <c r="H157" s="276">
        <v>0</v>
      </c>
      <c r="I157" s="276">
        <v>1</v>
      </c>
      <c r="J157" s="276">
        <v>0</v>
      </c>
      <c r="K157" s="276">
        <v>1</v>
      </c>
      <c r="L157" s="276">
        <v>1</v>
      </c>
      <c r="M157" s="277">
        <v>2.8</v>
      </c>
    </row>
    <row r="158" spans="1:13" ht="14.25">
      <c r="A158" s="278">
        <v>11140</v>
      </c>
      <c r="B158" s="279" t="s">
        <v>118</v>
      </c>
      <c r="C158" s="279" t="s">
        <v>801</v>
      </c>
      <c r="D158" s="279" t="s">
        <v>26</v>
      </c>
      <c r="E158" s="280">
        <v>2.8</v>
      </c>
      <c r="F158" s="280" t="s">
        <v>119</v>
      </c>
      <c r="G158" s="280">
        <v>0</v>
      </c>
      <c r="H158" s="280">
        <v>0</v>
      </c>
      <c r="I158" s="280">
        <v>5</v>
      </c>
      <c r="J158" s="280">
        <v>0</v>
      </c>
      <c r="K158" s="280">
        <v>5</v>
      </c>
      <c r="L158" s="280">
        <v>5</v>
      </c>
      <c r="M158" s="281">
        <v>14</v>
      </c>
    </row>
    <row r="159" spans="1:13" ht="14.25">
      <c r="A159" s="274">
        <v>11140</v>
      </c>
      <c r="B159" s="275" t="s">
        <v>118</v>
      </c>
      <c r="C159" s="275" t="s">
        <v>802</v>
      </c>
      <c r="D159" s="275" t="s">
        <v>803</v>
      </c>
      <c r="E159" s="276">
        <v>2.8</v>
      </c>
      <c r="F159" s="276" t="s">
        <v>119</v>
      </c>
      <c r="G159" s="276">
        <v>0</v>
      </c>
      <c r="H159" s="276">
        <v>0</v>
      </c>
      <c r="I159" s="276">
        <v>1</v>
      </c>
      <c r="J159" s="276">
        <v>0</v>
      </c>
      <c r="K159" s="276">
        <v>1</v>
      </c>
      <c r="L159" s="276">
        <v>1</v>
      </c>
      <c r="M159" s="277">
        <v>2.8</v>
      </c>
    </row>
    <row r="160" spans="1:13" ht="14.25">
      <c r="A160" s="278">
        <v>11140</v>
      </c>
      <c r="B160" s="279" t="s">
        <v>118</v>
      </c>
      <c r="C160" s="279" t="s">
        <v>804</v>
      </c>
      <c r="D160" s="279" t="s">
        <v>201</v>
      </c>
      <c r="E160" s="280">
        <v>2.8</v>
      </c>
      <c r="F160" s="280" t="s">
        <v>119</v>
      </c>
      <c r="G160" s="280">
        <v>0</v>
      </c>
      <c r="H160" s="280">
        <v>0</v>
      </c>
      <c r="I160" s="280">
        <v>1</v>
      </c>
      <c r="J160" s="280">
        <v>0</v>
      </c>
      <c r="K160" s="280">
        <v>1</v>
      </c>
      <c r="L160" s="280">
        <v>1</v>
      </c>
      <c r="M160" s="281">
        <v>2.8</v>
      </c>
    </row>
    <row r="161" spans="1:13" ht="14.25">
      <c r="A161" s="274">
        <v>11140</v>
      </c>
      <c r="B161" s="275" t="s">
        <v>118</v>
      </c>
      <c r="C161" s="275" t="s">
        <v>805</v>
      </c>
      <c r="D161" s="275" t="s">
        <v>201</v>
      </c>
      <c r="E161" s="276">
        <v>2.8</v>
      </c>
      <c r="F161" s="276" t="s">
        <v>119</v>
      </c>
      <c r="G161" s="276">
        <v>0</v>
      </c>
      <c r="H161" s="276">
        <v>0</v>
      </c>
      <c r="I161" s="276">
        <v>5</v>
      </c>
      <c r="J161" s="276">
        <v>0</v>
      </c>
      <c r="K161" s="276">
        <v>5</v>
      </c>
      <c r="L161" s="276">
        <v>5</v>
      </c>
      <c r="M161" s="277">
        <v>14</v>
      </c>
    </row>
    <row r="162" spans="1:13" ht="14.25">
      <c r="A162" s="278">
        <v>11140</v>
      </c>
      <c r="B162" s="279" t="s">
        <v>118</v>
      </c>
      <c r="C162" s="279" t="s">
        <v>806</v>
      </c>
      <c r="D162" s="279" t="s">
        <v>14</v>
      </c>
      <c r="E162" s="280">
        <v>2.8</v>
      </c>
      <c r="F162" s="280" t="s">
        <v>119</v>
      </c>
      <c r="G162" s="280">
        <v>0</v>
      </c>
      <c r="H162" s="280">
        <v>0</v>
      </c>
      <c r="I162" s="280">
        <v>2</v>
      </c>
      <c r="J162" s="280">
        <v>0</v>
      </c>
      <c r="K162" s="280">
        <v>2</v>
      </c>
      <c r="L162" s="280">
        <v>2</v>
      </c>
      <c r="M162" s="281">
        <v>5.6</v>
      </c>
    </row>
    <row r="163" spans="1:13" ht="14.25">
      <c r="A163" s="274">
        <v>11140</v>
      </c>
      <c r="B163" s="275" t="s">
        <v>118</v>
      </c>
      <c r="C163" s="275" t="s">
        <v>807</v>
      </c>
      <c r="D163" s="275" t="s">
        <v>808</v>
      </c>
      <c r="E163" s="276">
        <v>2.8</v>
      </c>
      <c r="F163" s="276" t="s">
        <v>119</v>
      </c>
      <c r="G163" s="276">
        <v>0</v>
      </c>
      <c r="H163" s="276">
        <v>0</v>
      </c>
      <c r="I163" s="276">
        <v>1</v>
      </c>
      <c r="J163" s="276">
        <v>0</v>
      </c>
      <c r="K163" s="276">
        <v>1</v>
      </c>
      <c r="L163" s="276">
        <v>1</v>
      </c>
      <c r="M163" s="277">
        <v>2.8</v>
      </c>
    </row>
    <row r="164" spans="1:13" ht="14.25">
      <c r="A164" s="278">
        <v>11140</v>
      </c>
      <c r="B164" s="279" t="s">
        <v>118</v>
      </c>
      <c r="C164" s="279" t="s">
        <v>135</v>
      </c>
      <c r="D164" s="279" t="s">
        <v>136</v>
      </c>
      <c r="E164" s="280">
        <v>2.8</v>
      </c>
      <c r="F164" s="280" t="s">
        <v>122</v>
      </c>
      <c r="G164" s="280">
        <v>0</v>
      </c>
      <c r="H164" s="280">
        <v>0</v>
      </c>
      <c r="I164" s="280">
        <v>1</v>
      </c>
      <c r="J164" s="280">
        <v>0</v>
      </c>
      <c r="K164" s="280">
        <v>1</v>
      </c>
      <c r="L164" s="280">
        <v>1</v>
      </c>
      <c r="M164" s="281">
        <v>2.8</v>
      </c>
    </row>
    <row r="165" spans="1:13" ht="14.25">
      <c r="A165" s="274">
        <v>11140</v>
      </c>
      <c r="B165" s="275" t="s">
        <v>118</v>
      </c>
      <c r="C165" s="275" t="s">
        <v>120</v>
      </c>
      <c r="D165" s="275" t="s">
        <v>121</v>
      </c>
      <c r="E165" s="276">
        <v>2.8</v>
      </c>
      <c r="F165" s="276" t="s">
        <v>119</v>
      </c>
      <c r="G165" s="276">
        <v>0</v>
      </c>
      <c r="H165" s="276">
        <v>1</v>
      </c>
      <c r="I165" s="276">
        <v>1</v>
      </c>
      <c r="J165" s="276">
        <v>0</v>
      </c>
      <c r="K165" s="276">
        <v>2</v>
      </c>
      <c r="L165" s="276">
        <v>1</v>
      </c>
      <c r="M165" s="277">
        <v>2.8</v>
      </c>
    </row>
    <row r="166" spans="1:13" ht="14.25">
      <c r="A166" s="278">
        <v>11140</v>
      </c>
      <c r="B166" s="279" t="s">
        <v>118</v>
      </c>
      <c r="C166" s="279" t="s">
        <v>120</v>
      </c>
      <c r="D166" s="279" t="s">
        <v>121</v>
      </c>
      <c r="E166" s="280">
        <v>2.8</v>
      </c>
      <c r="F166" s="280" t="s">
        <v>122</v>
      </c>
      <c r="G166" s="280">
        <v>0</v>
      </c>
      <c r="H166" s="280">
        <v>1</v>
      </c>
      <c r="I166" s="280">
        <v>6</v>
      </c>
      <c r="J166" s="280">
        <v>0</v>
      </c>
      <c r="K166" s="280">
        <v>7</v>
      </c>
      <c r="L166" s="280">
        <v>6</v>
      </c>
      <c r="M166" s="281">
        <v>16.8</v>
      </c>
    </row>
    <row r="167" spans="1:13" ht="14.25">
      <c r="A167" s="274">
        <v>11140</v>
      </c>
      <c r="B167" s="275" t="s">
        <v>118</v>
      </c>
      <c r="C167" s="275" t="s">
        <v>25</v>
      </c>
      <c r="D167" s="275" t="s">
        <v>26</v>
      </c>
      <c r="E167" s="276">
        <v>2.8</v>
      </c>
      <c r="F167" s="276" t="s">
        <v>122</v>
      </c>
      <c r="G167" s="276">
        <v>0</v>
      </c>
      <c r="H167" s="276">
        <v>4</v>
      </c>
      <c r="I167" s="276">
        <v>17</v>
      </c>
      <c r="J167" s="276">
        <v>0</v>
      </c>
      <c r="K167" s="276">
        <v>21</v>
      </c>
      <c r="L167" s="276">
        <v>17</v>
      </c>
      <c r="M167" s="277">
        <v>47.6</v>
      </c>
    </row>
    <row r="168" spans="1:13" ht="14.25">
      <c r="A168" s="278">
        <v>11140</v>
      </c>
      <c r="B168" s="279" t="s">
        <v>118</v>
      </c>
      <c r="C168" s="279" t="s">
        <v>170</v>
      </c>
      <c r="D168" s="279" t="s">
        <v>171</v>
      </c>
      <c r="E168" s="280">
        <v>2.8</v>
      </c>
      <c r="F168" s="280" t="s">
        <v>119</v>
      </c>
      <c r="G168" s="280">
        <v>0</v>
      </c>
      <c r="H168" s="280">
        <v>0</v>
      </c>
      <c r="I168" s="280">
        <v>1</v>
      </c>
      <c r="J168" s="280">
        <v>0</v>
      </c>
      <c r="K168" s="280">
        <v>1</v>
      </c>
      <c r="L168" s="280">
        <v>1</v>
      </c>
      <c r="M168" s="281">
        <v>2.8</v>
      </c>
    </row>
    <row r="169" spans="1:13" ht="14.25">
      <c r="A169" s="274">
        <v>11140</v>
      </c>
      <c r="B169" s="275" t="s">
        <v>118</v>
      </c>
      <c r="C169" s="275" t="s">
        <v>170</v>
      </c>
      <c r="D169" s="275" t="s">
        <v>171</v>
      </c>
      <c r="E169" s="276">
        <v>2.8</v>
      </c>
      <c r="F169" s="276" t="s">
        <v>122</v>
      </c>
      <c r="G169" s="276">
        <v>0</v>
      </c>
      <c r="H169" s="276">
        <v>1</v>
      </c>
      <c r="I169" s="276">
        <v>8</v>
      </c>
      <c r="J169" s="276">
        <v>0</v>
      </c>
      <c r="K169" s="276">
        <v>9</v>
      </c>
      <c r="L169" s="276">
        <v>8</v>
      </c>
      <c r="M169" s="277">
        <v>22.4</v>
      </c>
    </row>
    <row r="170" spans="1:13" ht="14.25">
      <c r="A170" s="278">
        <v>11140</v>
      </c>
      <c r="B170" s="279" t="s">
        <v>118</v>
      </c>
      <c r="C170" s="279" t="s">
        <v>172</v>
      </c>
      <c r="D170" s="279" t="s">
        <v>173</v>
      </c>
      <c r="E170" s="280">
        <v>2.8</v>
      </c>
      <c r="F170" s="280" t="s">
        <v>122</v>
      </c>
      <c r="G170" s="280">
        <v>0</v>
      </c>
      <c r="H170" s="280">
        <v>6</v>
      </c>
      <c r="I170" s="280">
        <v>7</v>
      </c>
      <c r="J170" s="280">
        <v>0</v>
      </c>
      <c r="K170" s="280">
        <v>13</v>
      </c>
      <c r="L170" s="280">
        <v>7</v>
      </c>
      <c r="M170" s="281">
        <v>19.6</v>
      </c>
    </row>
    <row r="171" spans="1:13" ht="14.25">
      <c r="A171" s="274">
        <v>11140</v>
      </c>
      <c r="B171" s="275" t="s">
        <v>118</v>
      </c>
      <c r="C171" s="275" t="s">
        <v>174</v>
      </c>
      <c r="D171" s="275" t="s">
        <v>175</v>
      </c>
      <c r="E171" s="276">
        <v>2.8</v>
      </c>
      <c r="F171" s="276" t="s">
        <v>122</v>
      </c>
      <c r="G171" s="276">
        <v>0</v>
      </c>
      <c r="H171" s="276">
        <v>3</v>
      </c>
      <c r="I171" s="276">
        <v>3</v>
      </c>
      <c r="J171" s="276">
        <v>0</v>
      </c>
      <c r="K171" s="276">
        <v>6</v>
      </c>
      <c r="L171" s="276">
        <v>3</v>
      </c>
      <c r="M171" s="277">
        <v>8.4</v>
      </c>
    </row>
    <row r="172" spans="1:13" ht="14.25">
      <c r="A172" s="278">
        <v>11140</v>
      </c>
      <c r="B172" s="279" t="s">
        <v>118</v>
      </c>
      <c r="C172" s="279" t="s">
        <v>27</v>
      </c>
      <c r="D172" s="279" t="s">
        <v>28</v>
      </c>
      <c r="E172" s="280">
        <v>2.8</v>
      </c>
      <c r="F172" s="280" t="s">
        <v>119</v>
      </c>
      <c r="G172" s="280">
        <v>0</v>
      </c>
      <c r="H172" s="280">
        <v>0</v>
      </c>
      <c r="I172" s="280">
        <v>4</v>
      </c>
      <c r="J172" s="280">
        <v>0</v>
      </c>
      <c r="K172" s="280">
        <v>4</v>
      </c>
      <c r="L172" s="280">
        <v>4</v>
      </c>
      <c r="M172" s="281">
        <v>11.2</v>
      </c>
    </row>
    <row r="173" spans="1:13" ht="14.25">
      <c r="A173" s="274">
        <v>11140</v>
      </c>
      <c r="B173" s="275" t="s">
        <v>118</v>
      </c>
      <c r="C173" s="275" t="s">
        <v>27</v>
      </c>
      <c r="D173" s="275" t="s">
        <v>28</v>
      </c>
      <c r="E173" s="276">
        <v>2.8</v>
      </c>
      <c r="F173" s="276" t="s">
        <v>122</v>
      </c>
      <c r="G173" s="276">
        <v>0</v>
      </c>
      <c r="H173" s="276">
        <v>4</v>
      </c>
      <c r="I173" s="276">
        <v>13</v>
      </c>
      <c r="J173" s="276">
        <v>0</v>
      </c>
      <c r="K173" s="276">
        <v>17</v>
      </c>
      <c r="L173" s="276">
        <v>13</v>
      </c>
      <c r="M173" s="277">
        <v>36.4</v>
      </c>
    </row>
    <row r="174" spans="1:13" ht="14.25">
      <c r="A174" s="278">
        <v>11140</v>
      </c>
      <c r="B174" s="279" t="s">
        <v>118</v>
      </c>
      <c r="C174" s="279" t="s">
        <v>176</v>
      </c>
      <c r="D174" s="279" t="s">
        <v>177</v>
      </c>
      <c r="E174" s="280">
        <v>2.8</v>
      </c>
      <c r="F174" s="280" t="s">
        <v>122</v>
      </c>
      <c r="G174" s="280">
        <v>0</v>
      </c>
      <c r="H174" s="280">
        <v>1</v>
      </c>
      <c r="I174" s="280">
        <v>1</v>
      </c>
      <c r="J174" s="280">
        <v>0</v>
      </c>
      <c r="K174" s="280">
        <v>2</v>
      </c>
      <c r="L174" s="280">
        <v>1</v>
      </c>
      <c r="M174" s="281">
        <v>2.8</v>
      </c>
    </row>
    <row r="175" spans="1:13" ht="14.25">
      <c r="A175" s="274">
        <v>11140</v>
      </c>
      <c r="B175" s="275" t="s">
        <v>118</v>
      </c>
      <c r="C175" s="275" t="s">
        <v>178</v>
      </c>
      <c r="D175" s="275" t="s">
        <v>179</v>
      </c>
      <c r="E175" s="276">
        <v>2.8</v>
      </c>
      <c r="F175" s="276" t="s">
        <v>122</v>
      </c>
      <c r="G175" s="276">
        <v>0</v>
      </c>
      <c r="H175" s="276">
        <v>3</v>
      </c>
      <c r="I175" s="276">
        <v>1</v>
      </c>
      <c r="J175" s="276">
        <v>0</v>
      </c>
      <c r="K175" s="276">
        <v>4</v>
      </c>
      <c r="L175" s="276">
        <v>1</v>
      </c>
      <c r="M175" s="277">
        <v>2.8</v>
      </c>
    </row>
    <row r="176" spans="1:13" ht="14.25">
      <c r="A176" s="278">
        <v>11140</v>
      </c>
      <c r="B176" s="279" t="s">
        <v>118</v>
      </c>
      <c r="C176" s="279" t="s">
        <v>180</v>
      </c>
      <c r="D176" s="279" t="s">
        <v>181</v>
      </c>
      <c r="E176" s="280">
        <v>1</v>
      </c>
      <c r="F176" s="280" t="s">
        <v>122</v>
      </c>
      <c r="G176" s="280">
        <v>0</v>
      </c>
      <c r="H176" s="280">
        <v>1</v>
      </c>
      <c r="I176" s="280">
        <v>9</v>
      </c>
      <c r="J176" s="280">
        <v>0</v>
      </c>
      <c r="K176" s="280">
        <v>10</v>
      </c>
      <c r="L176" s="280">
        <v>9</v>
      </c>
      <c r="M176" s="281">
        <v>9</v>
      </c>
    </row>
    <row r="177" spans="1:13" ht="14.25">
      <c r="A177" s="274">
        <v>11140</v>
      </c>
      <c r="B177" s="275" t="s">
        <v>118</v>
      </c>
      <c r="C177" s="275" t="s">
        <v>29</v>
      </c>
      <c r="D177" s="275" t="s">
        <v>30</v>
      </c>
      <c r="E177" s="276">
        <v>2.8</v>
      </c>
      <c r="F177" s="276" t="s">
        <v>119</v>
      </c>
      <c r="G177" s="276">
        <v>0</v>
      </c>
      <c r="H177" s="276">
        <v>1</v>
      </c>
      <c r="I177" s="276">
        <v>6</v>
      </c>
      <c r="J177" s="276">
        <v>0</v>
      </c>
      <c r="K177" s="276">
        <v>7</v>
      </c>
      <c r="L177" s="276">
        <v>6</v>
      </c>
      <c r="M177" s="277">
        <v>16.8</v>
      </c>
    </row>
    <row r="178" spans="1:13" ht="14.25">
      <c r="A178" s="278">
        <v>11140</v>
      </c>
      <c r="B178" s="279" t="s">
        <v>118</v>
      </c>
      <c r="C178" s="279" t="s">
        <v>29</v>
      </c>
      <c r="D178" s="279" t="s">
        <v>30</v>
      </c>
      <c r="E178" s="280">
        <v>2.8</v>
      </c>
      <c r="F178" s="280" t="s">
        <v>122</v>
      </c>
      <c r="G178" s="280">
        <v>0</v>
      </c>
      <c r="H178" s="280">
        <v>9</v>
      </c>
      <c r="I178" s="280">
        <v>16</v>
      </c>
      <c r="J178" s="280">
        <v>0</v>
      </c>
      <c r="K178" s="280">
        <v>25</v>
      </c>
      <c r="L178" s="280">
        <v>16</v>
      </c>
      <c r="M178" s="281">
        <v>44.8</v>
      </c>
    </row>
    <row r="179" spans="1:13" ht="14.25">
      <c r="A179" s="274">
        <v>11140</v>
      </c>
      <c r="B179" s="275" t="s">
        <v>118</v>
      </c>
      <c r="C179" s="275" t="s">
        <v>182</v>
      </c>
      <c r="D179" s="275" t="s">
        <v>183</v>
      </c>
      <c r="E179" s="276">
        <v>2.8</v>
      </c>
      <c r="F179" s="276" t="s">
        <v>119</v>
      </c>
      <c r="G179" s="276">
        <v>0</v>
      </c>
      <c r="H179" s="276">
        <v>0</v>
      </c>
      <c r="I179" s="276">
        <v>1</v>
      </c>
      <c r="J179" s="276">
        <v>0</v>
      </c>
      <c r="K179" s="276">
        <v>1</v>
      </c>
      <c r="L179" s="276">
        <v>1</v>
      </c>
      <c r="M179" s="277">
        <v>2.8</v>
      </c>
    </row>
    <row r="180" spans="1:13" ht="14.25">
      <c r="A180" s="278">
        <v>11140</v>
      </c>
      <c r="B180" s="279" t="s">
        <v>118</v>
      </c>
      <c r="C180" s="279" t="s">
        <v>182</v>
      </c>
      <c r="D180" s="279" t="s">
        <v>183</v>
      </c>
      <c r="E180" s="280">
        <v>2.8</v>
      </c>
      <c r="F180" s="280" t="s">
        <v>122</v>
      </c>
      <c r="G180" s="280">
        <v>0</v>
      </c>
      <c r="H180" s="280">
        <v>0</v>
      </c>
      <c r="I180" s="280">
        <v>0</v>
      </c>
      <c r="J180" s="280">
        <v>1</v>
      </c>
      <c r="K180" s="280">
        <v>1</v>
      </c>
      <c r="L180" s="280">
        <v>0.5</v>
      </c>
      <c r="M180" s="281">
        <v>1.4</v>
      </c>
    </row>
    <row r="181" spans="1:13" ht="14.25">
      <c r="A181" s="274">
        <v>11140</v>
      </c>
      <c r="B181" s="275" t="s">
        <v>118</v>
      </c>
      <c r="C181" s="275" t="s">
        <v>184</v>
      </c>
      <c r="D181" s="275" t="s">
        <v>185</v>
      </c>
      <c r="E181" s="276">
        <v>2.8</v>
      </c>
      <c r="F181" s="276" t="s">
        <v>119</v>
      </c>
      <c r="G181" s="276">
        <v>0</v>
      </c>
      <c r="H181" s="276">
        <v>0</v>
      </c>
      <c r="I181" s="276">
        <v>5</v>
      </c>
      <c r="J181" s="276">
        <v>0</v>
      </c>
      <c r="K181" s="276">
        <v>5</v>
      </c>
      <c r="L181" s="276">
        <v>5</v>
      </c>
      <c r="M181" s="277">
        <v>14</v>
      </c>
    </row>
    <row r="182" spans="1:13" ht="14.25">
      <c r="A182" s="278">
        <v>11140</v>
      </c>
      <c r="B182" s="279" t="s">
        <v>118</v>
      </c>
      <c r="C182" s="279" t="s">
        <v>184</v>
      </c>
      <c r="D182" s="279" t="s">
        <v>185</v>
      </c>
      <c r="E182" s="280">
        <v>2.8</v>
      </c>
      <c r="F182" s="280" t="s">
        <v>122</v>
      </c>
      <c r="G182" s="280">
        <v>0</v>
      </c>
      <c r="H182" s="280">
        <v>2</v>
      </c>
      <c r="I182" s="280">
        <v>4</v>
      </c>
      <c r="J182" s="280">
        <v>0</v>
      </c>
      <c r="K182" s="280">
        <v>6</v>
      </c>
      <c r="L182" s="280">
        <v>4</v>
      </c>
      <c r="M182" s="281">
        <v>11.2</v>
      </c>
    </row>
    <row r="183" spans="1:13" ht="14.25">
      <c r="A183" s="274">
        <v>11140</v>
      </c>
      <c r="B183" s="275" t="s">
        <v>118</v>
      </c>
      <c r="C183" s="275" t="s">
        <v>186</v>
      </c>
      <c r="D183" s="275" t="s">
        <v>187</v>
      </c>
      <c r="E183" s="276">
        <v>2.8</v>
      </c>
      <c r="F183" s="276" t="s">
        <v>122</v>
      </c>
      <c r="G183" s="276">
        <v>0</v>
      </c>
      <c r="H183" s="276">
        <v>0</v>
      </c>
      <c r="I183" s="276">
        <v>3</v>
      </c>
      <c r="J183" s="276">
        <v>0</v>
      </c>
      <c r="K183" s="276">
        <v>3</v>
      </c>
      <c r="L183" s="276">
        <v>3</v>
      </c>
      <c r="M183" s="277">
        <v>8.4</v>
      </c>
    </row>
    <row r="184" spans="1:13" ht="14.25">
      <c r="A184" s="278">
        <v>11140</v>
      </c>
      <c r="B184" s="279" t="s">
        <v>118</v>
      </c>
      <c r="C184" s="279" t="s">
        <v>188</v>
      </c>
      <c r="D184" s="279" t="s">
        <v>189</v>
      </c>
      <c r="E184" s="280">
        <v>2.8</v>
      </c>
      <c r="F184" s="280" t="s">
        <v>119</v>
      </c>
      <c r="G184" s="280">
        <v>0</v>
      </c>
      <c r="H184" s="280">
        <v>0</v>
      </c>
      <c r="I184" s="280">
        <v>4</v>
      </c>
      <c r="J184" s="280">
        <v>0</v>
      </c>
      <c r="K184" s="280">
        <v>4</v>
      </c>
      <c r="L184" s="280">
        <v>4</v>
      </c>
      <c r="M184" s="281">
        <v>11.2</v>
      </c>
    </row>
    <row r="185" spans="1:13" ht="14.25">
      <c r="A185" s="274">
        <v>11140</v>
      </c>
      <c r="B185" s="275" t="s">
        <v>118</v>
      </c>
      <c r="C185" s="275" t="s">
        <v>188</v>
      </c>
      <c r="D185" s="275" t="s">
        <v>189</v>
      </c>
      <c r="E185" s="276">
        <v>2.8</v>
      </c>
      <c r="F185" s="276" t="s">
        <v>122</v>
      </c>
      <c r="G185" s="276">
        <v>0</v>
      </c>
      <c r="H185" s="276">
        <v>2</v>
      </c>
      <c r="I185" s="276">
        <v>1</v>
      </c>
      <c r="J185" s="276">
        <v>0</v>
      </c>
      <c r="K185" s="276">
        <v>3</v>
      </c>
      <c r="L185" s="276">
        <v>1</v>
      </c>
      <c r="M185" s="277">
        <v>2.8</v>
      </c>
    </row>
    <row r="186" spans="1:13" ht="14.25">
      <c r="A186" s="278">
        <v>11140</v>
      </c>
      <c r="B186" s="279" t="s">
        <v>118</v>
      </c>
      <c r="C186" s="279" t="s">
        <v>157</v>
      </c>
      <c r="D186" s="279" t="s">
        <v>158</v>
      </c>
      <c r="E186" s="280">
        <v>2.8</v>
      </c>
      <c r="F186" s="280" t="s">
        <v>119</v>
      </c>
      <c r="G186" s="280">
        <v>0</v>
      </c>
      <c r="H186" s="280">
        <v>0</v>
      </c>
      <c r="I186" s="280">
        <v>5</v>
      </c>
      <c r="J186" s="280">
        <v>0</v>
      </c>
      <c r="K186" s="280">
        <v>5</v>
      </c>
      <c r="L186" s="280">
        <v>5</v>
      </c>
      <c r="M186" s="281">
        <v>14</v>
      </c>
    </row>
    <row r="187" spans="1:13" ht="14.25">
      <c r="A187" s="274">
        <v>11140</v>
      </c>
      <c r="B187" s="275" t="s">
        <v>118</v>
      </c>
      <c r="C187" s="275" t="s">
        <v>659</v>
      </c>
      <c r="D187" s="275" t="s">
        <v>660</v>
      </c>
      <c r="E187" s="276">
        <v>2.8</v>
      </c>
      <c r="F187" s="276" t="s">
        <v>122</v>
      </c>
      <c r="G187" s="276">
        <v>0</v>
      </c>
      <c r="H187" s="276">
        <v>1</v>
      </c>
      <c r="I187" s="276">
        <v>6</v>
      </c>
      <c r="J187" s="276">
        <v>0</v>
      </c>
      <c r="K187" s="276">
        <v>7</v>
      </c>
      <c r="L187" s="276">
        <v>6</v>
      </c>
      <c r="M187" s="277">
        <v>16.8</v>
      </c>
    </row>
    <row r="188" spans="1:13" ht="14.25">
      <c r="A188" s="278">
        <v>11140</v>
      </c>
      <c r="B188" s="279" t="s">
        <v>118</v>
      </c>
      <c r="C188" s="279" t="s">
        <v>192</v>
      </c>
      <c r="D188" s="279" t="s">
        <v>193</v>
      </c>
      <c r="E188" s="280">
        <v>2.8</v>
      </c>
      <c r="F188" s="280" t="s">
        <v>122</v>
      </c>
      <c r="G188" s="280">
        <v>0</v>
      </c>
      <c r="H188" s="280">
        <v>10</v>
      </c>
      <c r="I188" s="280">
        <v>7</v>
      </c>
      <c r="J188" s="280">
        <v>0</v>
      </c>
      <c r="K188" s="280">
        <v>17</v>
      </c>
      <c r="L188" s="280">
        <v>7</v>
      </c>
      <c r="M188" s="281">
        <v>19.6</v>
      </c>
    </row>
    <row r="189" spans="1:13" ht="9.75">
      <c r="A189" s="282">
        <v>11140</v>
      </c>
      <c r="B189" s="283" t="s">
        <v>163</v>
      </c>
      <c r="C189" s="283"/>
      <c r="D189" s="283"/>
      <c r="E189" s="283"/>
      <c r="F189" s="284" t="s">
        <v>132</v>
      </c>
      <c r="G189" s="284">
        <v>0</v>
      </c>
      <c r="H189" s="284">
        <v>0</v>
      </c>
      <c r="I189" s="284">
        <v>0</v>
      </c>
      <c r="J189" s="284">
        <v>0</v>
      </c>
      <c r="K189" s="284">
        <v>0</v>
      </c>
      <c r="L189" s="284"/>
      <c r="M189" s="1052"/>
    </row>
    <row r="190" spans="1:13" ht="9.75">
      <c r="A190" s="282">
        <v>11140</v>
      </c>
      <c r="B190" s="283" t="s">
        <v>163</v>
      </c>
      <c r="C190" s="283"/>
      <c r="D190" s="283"/>
      <c r="E190" s="283"/>
      <c r="F190" s="284" t="s">
        <v>109</v>
      </c>
      <c r="G190" s="284">
        <v>0</v>
      </c>
      <c r="H190" s="284">
        <v>0</v>
      </c>
      <c r="I190" s="284">
        <v>0</v>
      </c>
      <c r="J190" s="284">
        <v>0</v>
      </c>
      <c r="K190" s="284">
        <v>0</v>
      </c>
      <c r="L190" s="284"/>
      <c r="M190" s="1052"/>
    </row>
    <row r="191" spans="1:13" ht="9.75">
      <c r="A191" s="282">
        <v>11140</v>
      </c>
      <c r="B191" s="283" t="s">
        <v>163</v>
      </c>
      <c r="C191" s="283"/>
      <c r="D191" s="283"/>
      <c r="E191" s="283"/>
      <c r="F191" s="284" t="s">
        <v>110</v>
      </c>
      <c r="G191" s="284">
        <v>170</v>
      </c>
      <c r="H191" s="284">
        <v>8</v>
      </c>
      <c r="I191" s="284">
        <v>186</v>
      </c>
      <c r="J191" s="284">
        <v>1</v>
      </c>
      <c r="K191" s="284">
        <v>365</v>
      </c>
      <c r="L191" s="284"/>
      <c r="M191" s="1052"/>
    </row>
    <row r="192" spans="1:13" ht="9.75">
      <c r="A192" s="282">
        <v>11140</v>
      </c>
      <c r="B192" s="283" t="s">
        <v>163</v>
      </c>
      <c r="C192" s="283"/>
      <c r="D192" s="283"/>
      <c r="E192" s="283"/>
      <c r="F192" s="284" t="s">
        <v>113</v>
      </c>
      <c r="G192" s="284">
        <v>0</v>
      </c>
      <c r="H192" s="284">
        <v>83</v>
      </c>
      <c r="I192" s="284">
        <v>1106</v>
      </c>
      <c r="J192" s="284">
        <v>21</v>
      </c>
      <c r="K192" s="284">
        <v>1210</v>
      </c>
      <c r="L192" s="284"/>
      <c r="M192" s="1052"/>
    </row>
    <row r="193" spans="1:13" ht="9.75">
      <c r="A193" s="282">
        <v>11140</v>
      </c>
      <c r="B193" s="283" t="s">
        <v>163</v>
      </c>
      <c r="C193" s="283"/>
      <c r="D193" s="283"/>
      <c r="E193" s="283"/>
      <c r="F193" s="284" t="s">
        <v>116</v>
      </c>
      <c r="G193" s="284">
        <v>0</v>
      </c>
      <c r="H193" s="284">
        <v>0</v>
      </c>
      <c r="I193" s="284">
        <v>0</v>
      </c>
      <c r="J193" s="284">
        <v>0</v>
      </c>
      <c r="K193" s="284">
        <v>0</v>
      </c>
      <c r="L193" s="284"/>
      <c r="M193" s="1052"/>
    </row>
    <row r="194" spans="1:13" ht="9.75">
      <c r="A194" s="282">
        <v>11140</v>
      </c>
      <c r="B194" s="283" t="s">
        <v>163</v>
      </c>
      <c r="C194" s="283"/>
      <c r="D194" s="283"/>
      <c r="E194" s="283"/>
      <c r="F194" s="284" t="s">
        <v>114</v>
      </c>
      <c r="G194" s="284">
        <v>0</v>
      </c>
      <c r="H194" s="284">
        <v>0</v>
      </c>
      <c r="I194" s="284">
        <v>0</v>
      </c>
      <c r="J194" s="284">
        <v>0</v>
      </c>
      <c r="K194" s="284">
        <v>0</v>
      </c>
      <c r="L194" s="284"/>
      <c r="M194" s="1052"/>
    </row>
    <row r="195" spans="1:13" ht="9.75">
      <c r="A195" s="282">
        <v>11140</v>
      </c>
      <c r="B195" s="283" t="s">
        <v>163</v>
      </c>
      <c r="C195" s="283"/>
      <c r="D195" s="283"/>
      <c r="E195" s="283"/>
      <c r="F195" s="284" t="s">
        <v>119</v>
      </c>
      <c r="G195" s="284">
        <v>0</v>
      </c>
      <c r="H195" s="284">
        <v>2</v>
      </c>
      <c r="I195" s="284">
        <v>43</v>
      </c>
      <c r="J195" s="284">
        <v>0</v>
      </c>
      <c r="K195" s="284">
        <v>45</v>
      </c>
      <c r="L195" s="284"/>
      <c r="M195" s="1052"/>
    </row>
    <row r="196" spans="1:13" ht="9.75">
      <c r="A196" s="282">
        <v>11140</v>
      </c>
      <c r="B196" s="283" t="s">
        <v>163</v>
      </c>
      <c r="C196" s="283"/>
      <c r="D196" s="283"/>
      <c r="E196" s="283"/>
      <c r="F196" s="284" t="s">
        <v>122</v>
      </c>
      <c r="G196" s="284">
        <v>0</v>
      </c>
      <c r="H196" s="284">
        <v>48</v>
      </c>
      <c r="I196" s="284">
        <v>103</v>
      </c>
      <c r="J196" s="284">
        <v>1</v>
      </c>
      <c r="K196" s="284">
        <v>152</v>
      </c>
      <c r="L196" s="284"/>
      <c r="M196" s="1052"/>
    </row>
    <row r="197" spans="1:13" ht="21">
      <c r="A197" s="274">
        <v>11150</v>
      </c>
      <c r="B197" s="275" t="s">
        <v>123</v>
      </c>
      <c r="C197" s="275" t="s">
        <v>130</v>
      </c>
      <c r="D197" s="275" t="s">
        <v>131</v>
      </c>
      <c r="E197" s="276">
        <v>2.25</v>
      </c>
      <c r="F197" s="276" t="s">
        <v>132</v>
      </c>
      <c r="G197" s="276">
        <v>24</v>
      </c>
      <c r="H197" s="276">
        <v>0</v>
      </c>
      <c r="I197" s="276">
        <v>5</v>
      </c>
      <c r="J197" s="276">
        <v>0</v>
      </c>
      <c r="K197" s="276">
        <v>29</v>
      </c>
      <c r="L197" s="276">
        <v>29</v>
      </c>
      <c r="M197" s="277">
        <v>65.25</v>
      </c>
    </row>
    <row r="198" spans="1:13" ht="21">
      <c r="A198" s="278">
        <v>11150</v>
      </c>
      <c r="B198" s="279" t="s">
        <v>123</v>
      </c>
      <c r="C198" s="279" t="s">
        <v>130</v>
      </c>
      <c r="D198" s="279" t="s">
        <v>131</v>
      </c>
      <c r="E198" s="280">
        <v>2.25</v>
      </c>
      <c r="F198" s="280" t="s">
        <v>109</v>
      </c>
      <c r="G198" s="280">
        <v>0</v>
      </c>
      <c r="H198" s="280">
        <v>2</v>
      </c>
      <c r="I198" s="280">
        <v>40</v>
      </c>
      <c r="J198" s="280">
        <v>0</v>
      </c>
      <c r="K198" s="280">
        <v>42</v>
      </c>
      <c r="L198" s="280">
        <v>40</v>
      </c>
      <c r="M198" s="281">
        <v>90</v>
      </c>
    </row>
    <row r="199" spans="1:13" ht="21">
      <c r="A199" s="274">
        <v>11150</v>
      </c>
      <c r="B199" s="275" t="s">
        <v>123</v>
      </c>
      <c r="C199" s="275" t="s">
        <v>809</v>
      </c>
      <c r="D199" s="275" t="s">
        <v>12</v>
      </c>
      <c r="E199" s="276">
        <v>3.5</v>
      </c>
      <c r="F199" s="276" t="s">
        <v>110</v>
      </c>
      <c r="G199" s="276">
        <v>16</v>
      </c>
      <c r="H199" s="276">
        <v>0</v>
      </c>
      <c r="I199" s="276">
        <v>14</v>
      </c>
      <c r="J199" s="276">
        <v>0</v>
      </c>
      <c r="K199" s="276">
        <v>30</v>
      </c>
      <c r="L199" s="276">
        <v>30</v>
      </c>
      <c r="M199" s="277">
        <v>105</v>
      </c>
    </row>
    <row r="200" spans="1:13" ht="21">
      <c r="A200" s="278">
        <v>11150</v>
      </c>
      <c r="B200" s="279" t="s">
        <v>123</v>
      </c>
      <c r="C200" s="279" t="s">
        <v>9</v>
      </c>
      <c r="D200" s="279" t="s">
        <v>10</v>
      </c>
      <c r="E200" s="280">
        <v>2.8</v>
      </c>
      <c r="F200" s="280" t="s">
        <v>110</v>
      </c>
      <c r="G200" s="280">
        <v>173</v>
      </c>
      <c r="H200" s="280">
        <v>0</v>
      </c>
      <c r="I200" s="280">
        <v>63</v>
      </c>
      <c r="J200" s="280">
        <v>0</v>
      </c>
      <c r="K200" s="280">
        <v>236</v>
      </c>
      <c r="L200" s="280">
        <v>236</v>
      </c>
      <c r="M200" s="281">
        <v>660.8</v>
      </c>
    </row>
    <row r="201" spans="1:13" ht="21">
      <c r="A201" s="274">
        <v>11150</v>
      </c>
      <c r="B201" s="275" t="s">
        <v>123</v>
      </c>
      <c r="C201" s="275" t="s">
        <v>9</v>
      </c>
      <c r="D201" s="275" t="s">
        <v>10</v>
      </c>
      <c r="E201" s="276">
        <v>2.8</v>
      </c>
      <c r="F201" s="276" t="s">
        <v>113</v>
      </c>
      <c r="G201" s="276">
        <v>0</v>
      </c>
      <c r="H201" s="276">
        <v>42</v>
      </c>
      <c r="I201" s="276">
        <v>690</v>
      </c>
      <c r="J201" s="276">
        <v>4</v>
      </c>
      <c r="K201" s="276">
        <v>736</v>
      </c>
      <c r="L201" s="276">
        <v>692</v>
      </c>
      <c r="M201" s="277">
        <v>1937.6</v>
      </c>
    </row>
    <row r="202" spans="1:13" ht="21">
      <c r="A202" s="278">
        <v>11150</v>
      </c>
      <c r="B202" s="279" t="s">
        <v>123</v>
      </c>
      <c r="C202" s="279" t="s">
        <v>11</v>
      </c>
      <c r="D202" s="279" t="s">
        <v>12</v>
      </c>
      <c r="E202" s="280">
        <v>3.5</v>
      </c>
      <c r="F202" s="280" t="s">
        <v>113</v>
      </c>
      <c r="G202" s="280">
        <v>0</v>
      </c>
      <c r="H202" s="280">
        <v>4</v>
      </c>
      <c r="I202" s="280">
        <v>126</v>
      </c>
      <c r="J202" s="280">
        <v>0</v>
      </c>
      <c r="K202" s="280">
        <v>130</v>
      </c>
      <c r="L202" s="280">
        <v>126</v>
      </c>
      <c r="M202" s="281">
        <v>441</v>
      </c>
    </row>
    <row r="203" spans="1:13" ht="21">
      <c r="A203" s="274">
        <v>11150</v>
      </c>
      <c r="B203" s="275" t="s">
        <v>123</v>
      </c>
      <c r="C203" s="275" t="s">
        <v>810</v>
      </c>
      <c r="D203" s="275" t="s">
        <v>203</v>
      </c>
      <c r="E203" s="276">
        <v>2.8</v>
      </c>
      <c r="F203" s="276" t="s">
        <v>119</v>
      </c>
      <c r="G203" s="276">
        <v>0</v>
      </c>
      <c r="H203" s="276">
        <v>1</v>
      </c>
      <c r="I203" s="276">
        <v>1</v>
      </c>
      <c r="J203" s="276">
        <v>0</v>
      </c>
      <c r="K203" s="276">
        <v>2</v>
      </c>
      <c r="L203" s="276">
        <v>1</v>
      </c>
      <c r="M203" s="277">
        <v>2.8</v>
      </c>
    </row>
    <row r="204" spans="1:13" ht="21">
      <c r="A204" s="278">
        <v>11150</v>
      </c>
      <c r="B204" s="279" t="s">
        <v>123</v>
      </c>
      <c r="C204" s="279" t="s">
        <v>811</v>
      </c>
      <c r="D204" s="279" t="s">
        <v>662</v>
      </c>
      <c r="E204" s="280">
        <v>2.25</v>
      </c>
      <c r="F204" s="280" t="s">
        <v>119</v>
      </c>
      <c r="G204" s="280">
        <v>0</v>
      </c>
      <c r="H204" s="280">
        <v>0</v>
      </c>
      <c r="I204" s="280">
        <v>1</v>
      </c>
      <c r="J204" s="280">
        <v>0</v>
      </c>
      <c r="K204" s="280">
        <v>1</v>
      </c>
      <c r="L204" s="280">
        <v>1</v>
      </c>
      <c r="M204" s="281">
        <v>2.25</v>
      </c>
    </row>
    <row r="205" spans="1:13" ht="21">
      <c r="A205" s="274">
        <v>11150</v>
      </c>
      <c r="B205" s="275" t="s">
        <v>123</v>
      </c>
      <c r="C205" s="275" t="s">
        <v>120</v>
      </c>
      <c r="D205" s="275" t="s">
        <v>121</v>
      </c>
      <c r="E205" s="276">
        <v>2.8</v>
      </c>
      <c r="F205" s="276" t="s">
        <v>119</v>
      </c>
      <c r="G205" s="276">
        <v>0</v>
      </c>
      <c r="H205" s="276">
        <v>0</v>
      </c>
      <c r="I205" s="276">
        <v>1</v>
      </c>
      <c r="J205" s="276">
        <v>0</v>
      </c>
      <c r="K205" s="276">
        <v>1</v>
      </c>
      <c r="L205" s="276">
        <v>1</v>
      </c>
      <c r="M205" s="277">
        <v>2.8</v>
      </c>
    </row>
    <row r="206" spans="1:13" ht="21">
      <c r="A206" s="278">
        <v>11150</v>
      </c>
      <c r="B206" s="279" t="s">
        <v>123</v>
      </c>
      <c r="C206" s="279" t="s">
        <v>120</v>
      </c>
      <c r="D206" s="279" t="s">
        <v>121</v>
      </c>
      <c r="E206" s="280">
        <v>2.8</v>
      </c>
      <c r="F206" s="280" t="s">
        <v>122</v>
      </c>
      <c r="G206" s="280">
        <v>0</v>
      </c>
      <c r="H206" s="280">
        <v>2</v>
      </c>
      <c r="I206" s="280">
        <v>5</v>
      </c>
      <c r="J206" s="280">
        <v>1</v>
      </c>
      <c r="K206" s="280">
        <v>8</v>
      </c>
      <c r="L206" s="280">
        <v>5.5</v>
      </c>
      <c r="M206" s="281">
        <v>15.4</v>
      </c>
    </row>
    <row r="207" spans="1:13" ht="21">
      <c r="A207" s="274">
        <v>11150</v>
      </c>
      <c r="B207" s="275" t="s">
        <v>123</v>
      </c>
      <c r="C207" s="275" t="s">
        <v>153</v>
      </c>
      <c r="D207" s="275" t="s">
        <v>154</v>
      </c>
      <c r="E207" s="276">
        <v>2.8</v>
      </c>
      <c r="F207" s="276" t="s">
        <v>122</v>
      </c>
      <c r="G207" s="276">
        <v>0</v>
      </c>
      <c r="H207" s="276">
        <v>5</v>
      </c>
      <c r="I207" s="276">
        <v>1</v>
      </c>
      <c r="J207" s="276">
        <v>0</v>
      </c>
      <c r="K207" s="276">
        <v>6</v>
      </c>
      <c r="L207" s="276">
        <v>1</v>
      </c>
      <c r="M207" s="277">
        <v>2.8</v>
      </c>
    </row>
    <row r="208" spans="1:13" ht="21">
      <c r="A208" s="278">
        <v>11150</v>
      </c>
      <c r="B208" s="279" t="s">
        <v>123</v>
      </c>
      <c r="C208" s="279" t="s">
        <v>25</v>
      </c>
      <c r="D208" s="279" t="s">
        <v>26</v>
      </c>
      <c r="E208" s="280">
        <v>2.8</v>
      </c>
      <c r="F208" s="280" t="s">
        <v>122</v>
      </c>
      <c r="G208" s="280">
        <v>0</v>
      </c>
      <c r="H208" s="280">
        <v>3</v>
      </c>
      <c r="I208" s="280">
        <v>3</v>
      </c>
      <c r="J208" s="280">
        <v>0</v>
      </c>
      <c r="K208" s="280">
        <v>6</v>
      </c>
      <c r="L208" s="280">
        <v>3</v>
      </c>
      <c r="M208" s="281">
        <v>8.4</v>
      </c>
    </row>
    <row r="209" spans="1:13" ht="21">
      <c r="A209" s="274">
        <v>11150</v>
      </c>
      <c r="B209" s="275" t="s">
        <v>123</v>
      </c>
      <c r="C209" s="275" t="s">
        <v>170</v>
      </c>
      <c r="D209" s="275" t="s">
        <v>171</v>
      </c>
      <c r="E209" s="276">
        <v>2.8</v>
      </c>
      <c r="F209" s="276" t="s">
        <v>119</v>
      </c>
      <c r="G209" s="276">
        <v>0</v>
      </c>
      <c r="H209" s="276">
        <v>0</v>
      </c>
      <c r="I209" s="276">
        <v>1</v>
      </c>
      <c r="J209" s="276">
        <v>0</v>
      </c>
      <c r="K209" s="276">
        <v>1</v>
      </c>
      <c r="L209" s="276">
        <v>1</v>
      </c>
      <c r="M209" s="277">
        <v>2.8</v>
      </c>
    </row>
    <row r="210" spans="1:13" ht="21">
      <c r="A210" s="278">
        <v>11150</v>
      </c>
      <c r="B210" s="279" t="s">
        <v>123</v>
      </c>
      <c r="C210" s="279" t="s">
        <v>170</v>
      </c>
      <c r="D210" s="279" t="s">
        <v>171</v>
      </c>
      <c r="E210" s="280">
        <v>2.8</v>
      </c>
      <c r="F210" s="280" t="s">
        <v>122</v>
      </c>
      <c r="G210" s="280">
        <v>0</v>
      </c>
      <c r="H210" s="280">
        <v>1</v>
      </c>
      <c r="I210" s="280">
        <v>2</v>
      </c>
      <c r="J210" s="280">
        <v>1</v>
      </c>
      <c r="K210" s="280">
        <v>4</v>
      </c>
      <c r="L210" s="280">
        <v>2.5</v>
      </c>
      <c r="M210" s="281">
        <v>7</v>
      </c>
    </row>
    <row r="211" spans="1:13" ht="21">
      <c r="A211" s="274">
        <v>11150</v>
      </c>
      <c r="B211" s="275" t="s">
        <v>123</v>
      </c>
      <c r="C211" s="275" t="s">
        <v>172</v>
      </c>
      <c r="D211" s="275" t="s">
        <v>173</v>
      </c>
      <c r="E211" s="276">
        <v>2.8</v>
      </c>
      <c r="F211" s="276" t="s">
        <v>119</v>
      </c>
      <c r="G211" s="276">
        <v>0</v>
      </c>
      <c r="H211" s="276">
        <v>0</v>
      </c>
      <c r="I211" s="276">
        <v>1</v>
      </c>
      <c r="J211" s="276">
        <v>0</v>
      </c>
      <c r="K211" s="276">
        <v>1</v>
      </c>
      <c r="L211" s="276">
        <v>1</v>
      </c>
      <c r="M211" s="277">
        <v>2.8</v>
      </c>
    </row>
    <row r="212" spans="1:13" ht="21">
      <c r="A212" s="278">
        <v>11150</v>
      </c>
      <c r="B212" s="279" t="s">
        <v>123</v>
      </c>
      <c r="C212" s="279" t="s">
        <v>172</v>
      </c>
      <c r="D212" s="279" t="s">
        <v>173</v>
      </c>
      <c r="E212" s="280">
        <v>2.8</v>
      </c>
      <c r="F212" s="280" t="s">
        <v>122</v>
      </c>
      <c r="G212" s="280">
        <v>0</v>
      </c>
      <c r="H212" s="280">
        <v>3</v>
      </c>
      <c r="I212" s="280">
        <v>9</v>
      </c>
      <c r="J212" s="280">
        <v>0</v>
      </c>
      <c r="K212" s="280">
        <v>12</v>
      </c>
      <c r="L212" s="280">
        <v>9</v>
      </c>
      <c r="M212" s="281">
        <v>25.2</v>
      </c>
    </row>
    <row r="213" spans="1:13" ht="21">
      <c r="A213" s="274">
        <v>11150</v>
      </c>
      <c r="B213" s="275" t="s">
        <v>123</v>
      </c>
      <c r="C213" s="275" t="s">
        <v>27</v>
      </c>
      <c r="D213" s="275" t="s">
        <v>28</v>
      </c>
      <c r="E213" s="276">
        <v>2.8</v>
      </c>
      <c r="F213" s="276" t="s">
        <v>119</v>
      </c>
      <c r="G213" s="276">
        <v>0</v>
      </c>
      <c r="H213" s="276">
        <v>0</v>
      </c>
      <c r="I213" s="276">
        <v>1</v>
      </c>
      <c r="J213" s="276">
        <v>0</v>
      </c>
      <c r="K213" s="276">
        <v>1</v>
      </c>
      <c r="L213" s="276">
        <v>1</v>
      </c>
      <c r="M213" s="277">
        <v>2.8</v>
      </c>
    </row>
    <row r="214" spans="1:13" ht="21">
      <c r="A214" s="278">
        <v>11150</v>
      </c>
      <c r="B214" s="279" t="s">
        <v>123</v>
      </c>
      <c r="C214" s="279" t="s">
        <v>27</v>
      </c>
      <c r="D214" s="279" t="s">
        <v>28</v>
      </c>
      <c r="E214" s="280">
        <v>2.8</v>
      </c>
      <c r="F214" s="280" t="s">
        <v>122</v>
      </c>
      <c r="G214" s="280">
        <v>0</v>
      </c>
      <c r="H214" s="280">
        <v>10</v>
      </c>
      <c r="I214" s="280">
        <v>17</v>
      </c>
      <c r="J214" s="280">
        <v>0</v>
      </c>
      <c r="K214" s="280">
        <v>27</v>
      </c>
      <c r="L214" s="280">
        <v>17</v>
      </c>
      <c r="M214" s="281">
        <v>47.6</v>
      </c>
    </row>
    <row r="215" spans="1:13" ht="21">
      <c r="A215" s="274">
        <v>11150</v>
      </c>
      <c r="B215" s="275" t="s">
        <v>123</v>
      </c>
      <c r="C215" s="275" t="s">
        <v>194</v>
      </c>
      <c r="D215" s="275" t="s">
        <v>195</v>
      </c>
      <c r="E215" s="276">
        <v>2.8</v>
      </c>
      <c r="F215" s="276" t="s">
        <v>122</v>
      </c>
      <c r="G215" s="276">
        <v>0</v>
      </c>
      <c r="H215" s="276">
        <v>0</v>
      </c>
      <c r="I215" s="276">
        <v>1</v>
      </c>
      <c r="J215" s="276">
        <v>0</v>
      </c>
      <c r="K215" s="276">
        <v>1</v>
      </c>
      <c r="L215" s="276">
        <v>1</v>
      </c>
      <c r="M215" s="277">
        <v>2.8</v>
      </c>
    </row>
    <row r="216" spans="1:13" ht="21">
      <c r="A216" s="278">
        <v>11150</v>
      </c>
      <c r="B216" s="279" t="s">
        <v>123</v>
      </c>
      <c r="C216" s="279" t="s">
        <v>176</v>
      </c>
      <c r="D216" s="279" t="s">
        <v>177</v>
      </c>
      <c r="E216" s="280">
        <v>2.8</v>
      </c>
      <c r="F216" s="280" t="s">
        <v>122</v>
      </c>
      <c r="G216" s="280">
        <v>0</v>
      </c>
      <c r="H216" s="280">
        <v>2</v>
      </c>
      <c r="I216" s="280">
        <v>3</v>
      </c>
      <c r="J216" s="280">
        <v>0</v>
      </c>
      <c r="K216" s="280">
        <v>5</v>
      </c>
      <c r="L216" s="280">
        <v>3</v>
      </c>
      <c r="M216" s="281">
        <v>8.4</v>
      </c>
    </row>
    <row r="217" spans="1:13" ht="21">
      <c r="A217" s="274">
        <v>11150</v>
      </c>
      <c r="B217" s="275" t="s">
        <v>123</v>
      </c>
      <c r="C217" s="275" t="s">
        <v>196</v>
      </c>
      <c r="D217" s="275" t="s">
        <v>197</v>
      </c>
      <c r="E217" s="276">
        <v>2.8</v>
      </c>
      <c r="F217" s="276" t="s">
        <v>119</v>
      </c>
      <c r="G217" s="276">
        <v>0</v>
      </c>
      <c r="H217" s="276">
        <v>0</v>
      </c>
      <c r="I217" s="276">
        <v>1</v>
      </c>
      <c r="J217" s="276">
        <v>0</v>
      </c>
      <c r="K217" s="276">
        <v>1</v>
      </c>
      <c r="L217" s="276">
        <v>1</v>
      </c>
      <c r="M217" s="277">
        <v>2.8</v>
      </c>
    </row>
    <row r="218" spans="1:13" ht="21">
      <c r="A218" s="278">
        <v>11150</v>
      </c>
      <c r="B218" s="279" t="s">
        <v>123</v>
      </c>
      <c r="C218" s="279" t="s">
        <v>196</v>
      </c>
      <c r="D218" s="279" t="s">
        <v>197</v>
      </c>
      <c r="E218" s="280">
        <v>2.8</v>
      </c>
      <c r="F218" s="280" t="s">
        <v>122</v>
      </c>
      <c r="G218" s="280">
        <v>0</v>
      </c>
      <c r="H218" s="280">
        <v>1</v>
      </c>
      <c r="I218" s="280">
        <v>3</v>
      </c>
      <c r="J218" s="280">
        <v>0</v>
      </c>
      <c r="K218" s="280">
        <v>4</v>
      </c>
      <c r="L218" s="280">
        <v>3</v>
      </c>
      <c r="M218" s="281">
        <v>8.4</v>
      </c>
    </row>
    <row r="219" spans="1:13" ht="21">
      <c r="A219" s="274">
        <v>11150</v>
      </c>
      <c r="B219" s="275" t="s">
        <v>123</v>
      </c>
      <c r="C219" s="275" t="s">
        <v>198</v>
      </c>
      <c r="D219" s="275" t="s">
        <v>199</v>
      </c>
      <c r="E219" s="276">
        <v>2.8</v>
      </c>
      <c r="F219" s="276" t="s">
        <v>119</v>
      </c>
      <c r="G219" s="276">
        <v>0</v>
      </c>
      <c r="H219" s="276">
        <v>0</v>
      </c>
      <c r="I219" s="276">
        <v>1</v>
      </c>
      <c r="J219" s="276">
        <v>0</v>
      </c>
      <c r="K219" s="276">
        <v>1</v>
      </c>
      <c r="L219" s="276">
        <v>1</v>
      </c>
      <c r="M219" s="277">
        <v>2.8</v>
      </c>
    </row>
    <row r="220" spans="1:13" ht="21">
      <c r="A220" s="278">
        <v>11150</v>
      </c>
      <c r="B220" s="279" t="s">
        <v>123</v>
      </c>
      <c r="C220" s="279" t="s">
        <v>198</v>
      </c>
      <c r="D220" s="279" t="s">
        <v>199</v>
      </c>
      <c r="E220" s="280">
        <v>2.8</v>
      </c>
      <c r="F220" s="280" t="s">
        <v>122</v>
      </c>
      <c r="G220" s="280">
        <v>0</v>
      </c>
      <c r="H220" s="280">
        <v>2</v>
      </c>
      <c r="I220" s="280">
        <v>6</v>
      </c>
      <c r="J220" s="280">
        <v>0</v>
      </c>
      <c r="K220" s="280">
        <v>8</v>
      </c>
      <c r="L220" s="280">
        <v>6</v>
      </c>
      <c r="M220" s="281">
        <v>16.8</v>
      </c>
    </row>
    <row r="221" spans="1:13" ht="21">
      <c r="A221" s="274">
        <v>11150</v>
      </c>
      <c r="B221" s="275" t="s">
        <v>123</v>
      </c>
      <c r="C221" s="275" t="s">
        <v>200</v>
      </c>
      <c r="D221" s="275" t="s">
        <v>201</v>
      </c>
      <c r="E221" s="276">
        <v>2.8</v>
      </c>
      <c r="F221" s="276" t="s">
        <v>122</v>
      </c>
      <c r="G221" s="276">
        <v>0</v>
      </c>
      <c r="H221" s="276">
        <v>3</v>
      </c>
      <c r="I221" s="276">
        <v>5</v>
      </c>
      <c r="J221" s="276">
        <v>0</v>
      </c>
      <c r="K221" s="276">
        <v>8</v>
      </c>
      <c r="L221" s="276">
        <v>5</v>
      </c>
      <c r="M221" s="277">
        <v>14</v>
      </c>
    </row>
    <row r="222" spans="1:13" ht="21">
      <c r="A222" s="278">
        <v>11150</v>
      </c>
      <c r="B222" s="279" t="s">
        <v>123</v>
      </c>
      <c r="C222" s="279" t="s">
        <v>202</v>
      </c>
      <c r="D222" s="279" t="s">
        <v>203</v>
      </c>
      <c r="E222" s="280">
        <v>2.8</v>
      </c>
      <c r="F222" s="280" t="s">
        <v>122</v>
      </c>
      <c r="G222" s="280">
        <v>0</v>
      </c>
      <c r="H222" s="280">
        <v>2</v>
      </c>
      <c r="I222" s="280">
        <v>7</v>
      </c>
      <c r="J222" s="280">
        <v>0</v>
      </c>
      <c r="K222" s="280">
        <v>9</v>
      </c>
      <c r="L222" s="280">
        <v>7</v>
      </c>
      <c r="M222" s="281">
        <v>19.6</v>
      </c>
    </row>
    <row r="223" spans="1:13" ht="21">
      <c r="A223" s="274">
        <v>11150</v>
      </c>
      <c r="B223" s="275" t="s">
        <v>123</v>
      </c>
      <c r="C223" s="275" t="s">
        <v>178</v>
      </c>
      <c r="D223" s="275" t="s">
        <v>179</v>
      </c>
      <c r="E223" s="276">
        <v>2.8</v>
      </c>
      <c r="F223" s="276" t="s">
        <v>119</v>
      </c>
      <c r="G223" s="276">
        <v>0</v>
      </c>
      <c r="H223" s="276">
        <v>0</v>
      </c>
      <c r="I223" s="276">
        <v>1</v>
      </c>
      <c r="J223" s="276">
        <v>0</v>
      </c>
      <c r="K223" s="276">
        <v>1</v>
      </c>
      <c r="L223" s="276">
        <v>1</v>
      </c>
      <c r="M223" s="277">
        <v>2.8</v>
      </c>
    </row>
    <row r="224" spans="1:13" ht="21">
      <c r="A224" s="278">
        <v>11150</v>
      </c>
      <c r="B224" s="279" t="s">
        <v>123</v>
      </c>
      <c r="C224" s="279" t="s">
        <v>178</v>
      </c>
      <c r="D224" s="279" t="s">
        <v>179</v>
      </c>
      <c r="E224" s="280">
        <v>2.8</v>
      </c>
      <c r="F224" s="280" t="s">
        <v>122</v>
      </c>
      <c r="G224" s="280">
        <v>0</v>
      </c>
      <c r="H224" s="280">
        <v>1</v>
      </c>
      <c r="I224" s="280">
        <v>2</v>
      </c>
      <c r="J224" s="280">
        <v>0</v>
      </c>
      <c r="K224" s="280">
        <v>3</v>
      </c>
      <c r="L224" s="280">
        <v>2</v>
      </c>
      <c r="M224" s="281">
        <v>5.6</v>
      </c>
    </row>
    <row r="225" spans="1:13" ht="21">
      <c r="A225" s="274">
        <v>11150</v>
      </c>
      <c r="B225" s="275" t="s">
        <v>123</v>
      </c>
      <c r="C225" s="275" t="s">
        <v>204</v>
      </c>
      <c r="D225" s="275" t="s">
        <v>205</v>
      </c>
      <c r="E225" s="276">
        <v>2.8</v>
      </c>
      <c r="F225" s="276" t="s">
        <v>122</v>
      </c>
      <c r="G225" s="276">
        <v>0</v>
      </c>
      <c r="H225" s="276">
        <v>0</v>
      </c>
      <c r="I225" s="276">
        <v>3</v>
      </c>
      <c r="J225" s="276">
        <v>0</v>
      </c>
      <c r="K225" s="276">
        <v>3</v>
      </c>
      <c r="L225" s="276">
        <v>3</v>
      </c>
      <c r="M225" s="277">
        <v>8.4</v>
      </c>
    </row>
    <row r="226" spans="1:13" ht="21">
      <c r="A226" s="278">
        <v>11150</v>
      </c>
      <c r="B226" s="279" t="s">
        <v>123</v>
      </c>
      <c r="C226" s="279" t="s">
        <v>29</v>
      </c>
      <c r="D226" s="279" t="s">
        <v>30</v>
      </c>
      <c r="E226" s="280">
        <v>2.8</v>
      </c>
      <c r="F226" s="280" t="s">
        <v>119</v>
      </c>
      <c r="G226" s="280">
        <v>0</v>
      </c>
      <c r="H226" s="280">
        <v>0</v>
      </c>
      <c r="I226" s="280">
        <v>6</v>
      </c>
      <c r="J226" s="280">
        <v>0</v>
      </c>
      <c r="K226" s="280">
        <v>6</v>
      </c>
      <c r="L226" s="280">
        <v>6</v>
      </c>
      <c r="M226" s="281">
        <v>16.8</v>
      </c>
    </row>
    <row r="227" spans="1:13" ht="21">
      <c r="A227" s="274">
        <v>11150</v>
      </c>
      <c r="B227" s="275" t="s">
        <v>123</v>
      </c>
      <c r="C227" s="275" t="s">
        <v>29</v>
      </c>
      <c r="D227" s="275" t="s">
        <v>30</v>
      </c>
      <c r="E227" s="276">
        <v>2.8</v>
      </c>
      <c r="F227" s="276" t="s">
        <v>122</v>
      </c>
      <c r="G227" s="276">
        <v>0</v>
      </c>
      <c r="H227" s="276">
        <v>13</v>
      </c>
      <c r="I227" s="276">
        <v>17</v>
      </c>
      <c r="J227" s="276">
        <v>0</v>
      </c>
      <c r="K227" s="276">
        <v>30</v>
      </c>
      <c r="L227" s="276">
        <v>17</v>
      </c>
      <c r="M227" s="277">
        <v>47.6</v>
      </c>
    </row>
    <row r="228" spans="1:13" ht="21">
      <c r="A228" s="278">
        <v>11150</v>
      </c>
      <c r="B228" s="279" t="s">
        <v>123</v>
      </c>
      <c r="C228" s="279" t="s">
        <v>206</v>
      </c>
      <c r="D228" s="279" t="s">
        <v>207</v>
      </c>
      <c r="E228" s="280">
        <v>2.8</v>
      </c>
      <c r="F228" s="280" t="s">
        <v>122</v>
      </c>
      <c r="G228" s="280">
        <v>0</v>
      </c>
      <c r="H228" s="280">
        <v>6</v>
      </c>
      <c r="I228" s="280">
        <v>6</v>
      </c>
      <c r="J228" s="280">
        <v>0</v>
      </c>
      <c r="K228" s="280">
        <v>12</v>
      </c>
      <c r="L228" s="280">
        <v>6</v>
      </c>
      <c r="M228" s="281">
        <v>16.8</v>
      </c>
    </row>
    <row r="229" spans="1:13" ht="21">
      <c r="A229" s="274">
        <v>11150</v>
      </c>
      <c r="B229" s="275" t="s">
        <v>123</v>
      </c>
      <c r="C229" s="275" t="s">
        <v>188</v>
      </c>
      <c r="D229" s="275" t="s">
        <v>189</v>
      </c>
      <c r="E229" s="276">
        <v>2.8</v>
      </c>
      <c r="F229" s="276" t="s">
        <v>119</v>
      </c>
      <c r="G229" s="276">
        <v>0</v>
      </c>
      <c r="H229" s="276">
        <v>0</v>
      </c>
      <c r="I229" s="276">
        <v>2</v>
      </c>
      <c r="J229" s="276">
        <v>0</v>
      </c>
      <c r="K229" s="276">
        <v>2</v>
      </c>
      <c r="L229" s="276">
        <v>2</v>
      </c>
      <c r="M229" s="277">
        <v>5.6</v>
      </c>
    </row>
    <row r="230" spans="1:13" ht="21">
      <c r="A230" s="278">
        <v>11150</v>
      </c>
      <c r="B230" s="279" t="s">
        <v>123</v>
      </c>
      <c r="C230" s="279" t="s">
        <v>188</v>
      </c>
      <c r="D230" s="279" t="s">
        <v>189</v>
      </c>
      <c r="E230" s="280">
        <v>2.8</v>
      </c>
      <c r="F230" s="280" t="s">
        <v>122</v>
      </c>
      <c r="G230" s="280">
        <v>0</v>
      </c>
      <c r="H230" s="280">
        <v>3</v>
      </c>
      <c r="I230" s="280">
        <v>7</v>
      </c>
      <c r="J230" s="280">
        <v>0</v>
      </c>
      <c r="K230" s="280">
        <v>10</v>
      </c>
      <c r="L230" s="280">
        <v>7</v>
      </c>
      <c r="M230" s="281">
        <v>19.6</v>
      </c>
    </row>
    <row r="231" spans="1:13" ht="21">
      <c r="A231" s="274">
        <v>11150</v>
      </c>
      <c r="B231" s="275" t="s">
        <v>123</v>
      </c>
      <c r="C231" s="275" t="s">
        <v>190</v>
      </c>
      <c r="D231" s="275" t="s">
        <v>191</v>
      </c>
      <c r="E231" s="276">
        <v>2.8</v>
      </c>
      <c r="F231" s="276" t="s">
        <v>122</v>
      </c>
      <c r="G231" s="276">
        <v>0</v>
      </c>
      <c r="H231" s="276">
        <v>6</v>
      </c>
      <c r="I231" s="276">
        <v>3</v>
      </c>
      <c r="J231" s="276">
        <v>0</v>
      </c>
      <c r="K231" s="276">
        <v>9</v>
      </c>
      <c r="L231" s="276">
        <v>3</v>
      </c>
      <c r="M231" s="277">
        <v>8.4</v>
      </c>
    </row>
    <row r="232" spans="1:13" ht="21">
      <c r="A232" s="278">
        <v>11150</v>
      </c>
      <c r="B232" s="279" t="s">
        <v>123</v>
      </c>
      <c r="C232" s="279" t="s">
        <v>208</v>
      </c>
      <c r="D232" s="279" t="s">
        <v>209</v>
      </c>
      <c r="E232" s="280">
        <v>2.8</v>
      </c>
      <c r="F232" s="280" t="s">
        <v>119</v>
      </c>
      <c r="G232" s="280">
        <v>0</v>
      </c>
      <c r="H232" s="280">
        <v>0</v>
      </c>
      <c r="I232" s="280">
        <v>5</v>
      </c>
      <c r="J232" s="280">
        <v>0</v>
      </c>
      <c r="K232" s="280">
        <v>5</v>
      </c>
      <c r="L232" s="280">
        <v>5</v>
      </c>
      <c r="M232" s="281">
        <v>14</v>
      </c>
    </row>
    <row r="233" spans="1:13" ht="21">
      <c r="A233" s="274">
        <v>11150</v>
      </c>
      <c r="B233" s="275" t="s">
        <v>123</v>
      </c>
      <c r="C233" s="275" t="s">
        <v>208</v>
      </c>
      <c r="D233" s="275" t="s">
        <v>209</v>
      </c>
      <c r="E233" s="276">
        <v>2.8</v>
      </c>
      <c r="F233" s="276" t="s">
        <v>122</v>
      </c>
      <c r="G233" s="276">
        <v>0</v>
      </c>
      <c r="H233" s="276">
        <v>9</v>
      </c>
      <c r="I233" s="276">
        <v>5</v>
      </c>
      <c r="J233" s="276">
        <v>0</v>
      </c>
      <c r="K233" s="276">
        <v>14</v>
      </c>
      <c r="L233" s="276">
        <v>5</v>
      </c>
      <c r="M233" s="277">
        <v>14</v>
      </c>
    </row>
    <row r="234" spans="1:13" ht="21">
      <c r="A234" s="278">
        <v>11150</v>
      </c>
      <c r="B234" s="279" t="s">
        <v>123</v>
      </c>
      <c r="C234" s="279" t="s">
        <v>210</v>
      </c>
      <c r="D234" s="279" t="s">
        <v>211</v>
      </c>
      <c r="E234" s="280">
        <v>2.8</v>
      </c>
      <c r="F234" s="280" t="s">
        <v>119</v>
      </c>
      <c r="G234" s="280">
        <v>0</v>
      </c>
      <c r="H234" s="280">
        <v>1</v>
      </c>
      <c r="I234" s="280">
        <v>1</v>
      </c>
      <c r="J234" s="280">
        <v>0</v>
      </c>
      <c r="K234" s="280">
        <v>2</v>
      </c>
      <c r="L234" s="280">
        <v>1</v>
      </c>
      <c r="M234" s="281">
        <v>2.8</v>
      </c>
    </row>
    <row r="235" spans="1:13" ht="21">
      <c r="A235" s="274">
        <v>11150</v>
      </c>
      <c r="B235" s="275" t="s">
        <v>123</v>
      </c>
      <c r="C235" s="275" t="s">
        <v>210</v>
      </c>
      <c r="D235" s="275" t="s">
        <v>211</v>
      </c>
      <c r="E235" s="276">
        <v>2.8</v>
      </c>
      <c r="F235" s="276" t="s">
        <v>122</v>
      </c>
      <c r="G235" s="276">
        <v>0</v>
      </c>
      <c r="H235" s="276">
        <v>5</v>
      </c>
      <c r="I235" s="276">
        <v>5</v>
      </c>
      <c r="J235" s="276">
        <v>0</v>
      </c>
      <c r="K235" s="276">
        <v>10</v>
      </c>
      <c r="L235" s="276">
        <v>5</v>
      </c>
      <c r="M235" s="277">
        <v>14</v>
      </c>
    </row>
    <row r="236" spans="1:13" ht="21">
      <c r="A236" s="278">
        <v>11150</v>
      </c>
      <c r="B236" s="279" t="s">
        <v>123</v>
      </c>
      <c r="C236" s="279" t="s">
        <v>212</v>
      </c>
      <c r="D236" s="279" t="s">
        <v>213</v>
      </c>
      <c r="E236" s="280">
        <v>2.8</v>
      </c>
      <c r="F236" s="280" t="s">
        <v>119</v>
      </c>
      <c r="G236" s="280">
        <v>0</v>
      </c>
      <c r="H236" s="280">
        <v>0</v>
      </c>
      <c r="I236" s="280">
        <v>2</v>
      </c>
      <c r="J236" s="280">
        <v>0</v>
      </c>
      <c r="K236" s="280">
        <v>2</v>
      </c>
      <c r="L236" s="280">
        <v>2</v>
      </c>
      <c r="M236" s="281">
        <v>5.6</v>
      </c>
    </row>
    <row r="237" spans="1:13" ht="21">
      <c r="A237" s="274">
        <v>11150</v>
      </c>
      <c r="B237" s="275" t="s">
        <v>123</v>
      </c>
      <c r="C237" s="275" t="s">
        <v>212</v>
      </c>
      <c r="D237" s="275" t="s">
        <v>213</v>
      </c>
      <c r="E237" s="276">
        <v>2.8</v>
      </c>
      <c r="F237" s="276" t="s">
        <v>122</v>
      </c>
      <c r="G237" s="276">
        <v>0</v>
      </c>
      <c r="H237" s="276">
        <v>0</v>
      </c>
      <c r="I237" s="276">
        <v>2</v>
      </c>
      <c r="J237" s="276">
        <v>0</v>
      </c>
      <c r="K237" s="276">
        <v>2</v>
      </c>
      <c r="L237" s="276">
        <v>2</v>
      </c>
      <c r="M237" s="277">
        <v>5.6</v>
      </c>
    </row>
    <row r="238" spans="1:13" ht="21">
      <c r="A238" s="278">
        <v>11150</v>
      </c>
      <c r="B238" s="279" t="s">
        <v>123</v>
      </c>
      <c r="C238" s="279" t="s">
        <v>661</v>
      </c>
      <c r="D238" s="279" t="s">
        <v>662</v>
      </c>
      <c r="E238" s="280">
        <v>2.25</v>
      </c>
      <c r="F238" s="280" t="s">
        <v>119</v>
      </c>
      <c r="G238" s="280">
        <v>0</v>
      </c>
      <c r="H238" s="280">
        <v>0</v>
      </c>
      <c r="I238" s="280">
        <v>1</v>
      </c>
      <c r="J238" s="280">
        <v>0</v>
      </c>
      <c r="K238" s="280">
        <v>1</v>
      </c>
      <c r="L238" s="280">
        <v>1</v>
      </c>
      <c r="M238" s="281">
        <v>2.25</v>
      </c>
    </row>
    <row r="239" spans="1:13" ht="21">
      <c r="A239" s="274">
        <v>11150</v>
      </c>
      <c r="B239" s="275" t="s">
        <v>123</v>
      </c>
      <c r="C239" s="275" t="s">
        <v>661</v>
      </c>
      <c r="D239" s="275" t="s">
        <v>662</v>
      </c>
      <c r="E239" s="276">
        <v>2.25</v>
      </c>
      <c r="F239" s="276" t="s">
        <v>122</v>
      </c>
      <c r="G239" s="276">
        <v>0</v>
      </c>
      <c r="H239" s="276">
        <v>0</v>
      </c>
      <c r="I239" s="276">
        <v>4</v>
      </c>
      <c r="J239" s="276">
        <v>0</v>
      </c>
      <c r="K239" s="276">
        <v>4</v>
      </c>
      <c r="L239" s="276">
        <v>4</v>
      </c>
      <c r="M239" s="277">
        <v>9</v>
      </c>
    </row>
    <row r="240" spans="1:13" ht="9.75">
      <c r="A240" s="282">
        <v>11150</v>
      </c>
      <c r="B240" s="283" t="s">
        <v>163</v>
      </c>
      <c r="C240" s="283"/>
      <c r="D240" s="283"/>
      <c r="E240" s="283"/>
      <c r="F240" s="284" t="s">
        <v>132</v>
      </c>
      <c r="G240" s="284">
        <v>24</v>
      </c>
      <c r="H240" s="284">
        <v>0</v>
      </c>
      <c r="I240" s="284">
        <v>5</v>
      </c>
      <c r="J240" s="284">
        <v>0</v>
      </c>
      <c r="K240" s="284">
        <v>29</v>
      </c>
      <c r="L240" s="284"/>
      <c r="M240" s="1052"/>
    </row>
    <row r="241" spans="1:13" ht="9.75">
      <c r="A241" s="282">
        <v>11150</v>
      </c>
      <c r="B241" s="283" t="s">
        <v>163</v>
      </c>
      <c r="C241" s="283"/>
      <c r="D241" s="283"/>
      <c r="E241" s="283"/>
      <c r="F241" s="284" t="s">
        <v>109</v>
      </c>
      <c r="G241" s="284">
        <v>0</v>
      </c>
      <c r="H241" s="284">
        <v>2</v>
      </c>
      <c r="I241" s="284">
        <v>40</v>
      </c>
      <c r="J241" s="284">
        <v>0</v>
      </c>
      <c r="K241" s="284">
        <v>42</v>
      </c>
      <c r="L241" s="284"/>
      <c r="M241" s="1052"/>
    </row>
    <row r="242" spans="1:13" ht="9.75">
      <c r="A242" s="282">
        <v>11150</v>
      </c>
      <c r="B242" s="283" t="s">
        <v>163</v>
      </c>
      <c r="C242" s="283"/>
      <c r="D242" s="283"/>
      <c r="E242" s="283"/>
      <c r="F242" s="284" t="s">
        <v>110</v>
      </c>
      <c r="G242" s="284">
        <v>189</v>
      </c>
      <c r="H242" s="284">
        <v>0</v>
      </c>
      <c r="I242" s="284">
        <v>77</v>
      </c>
      <c r="J242" s="284">
        <v>0</v>
      </c>
      <c r="K242" s="284">
        <v>266</v>
      </c>
      <c r="L242" s="284"/>
      <c r="M242" s="1052"/>
    </row>
    <row r="243" spans="1:13" ht="9.75">
      <c r="A243" s="282">
        <v>11150</v>
      </c>
      <c r="B243" s="283" t="s">
        <v>163</v>
      </c>
      <c r="C243" s="283"/>
      <c r="D243" s="283"/>
      <c r="E243" s="283"/>
      <c r="F243" s="284" t="s">
        <v>113</v>
      </c>
      <c r="G243" s="284">
        <v>0</v>
      </c>
      <c r="H243" s="284">
        <v>46</v>
      </c>
      <c r="I243" s="284">
        <v>816</v>
      </c>
      <c r="J243" s="284">
        <v>4</v>
      </c>
      <c r="K243" s="284">
        <v>866</v>
      </c>
      <c r="L243" s="284"/>
      <c r="M243" s="1052"/>
    </row>
    <row r="244" spans="1:13" ht="9.75">
      <c r="A244" s="282">
        <v>11150</v>
      </c>
      <c r="B244" s="283" t="s">
        <v>163</v>
      </c>
      <c r="C244" s="283"/>
      <c r="D244" s="283"/>
      <c r="E244" s="283"/>
      <c r="F244" s="284" t="s">
        <v>116</v>
      </c>
      <c r="G244" s="284">
        <v>0</v>
      </c>
      <c r="H244" s="284">
        <v>0</v>
      </c>
      <c r="I244" s="284">
        <v>0</v>
      </c>
      <c r="J244" s="284">
        <v>0</v>
      </c>
      <c r="K244" s="284">
        <v>0</v>
      </c>
      <c r="L244" s="284"/>
      <c r="M244" s="1052"/>
    </row>
    <row r="245" spans="1:13" ht="9.75">
      <c r="A245" s="282">
        <v>11150</v>
      </c>
      <c r="B245" s="283" t="s">
        <v>163</v>
      </c>
      <c r="C245" s="283"/>
      <c r="D245" s="283"/>
      <c r="E245" s="283"/>
      <c r="F245" s="284" t="s">
        <v>114</v>
      </c>
      <c r="G245" s="284">
        <v>0</v>
      </c>
      <c r="H245" s="284">
        <v>0</v>
      </c>
      <c r="I245" s="284">
        <v>0</v>
      </c>
      <c r="J245" s="284">
        <v>0</v>
      </c>
      <c r="K245" s="284">
        <v>0</v>
      </c>
      <c r="L245" s="284"/>
      <c r="M245" s="1052"/>
    </row>
    <row r="246" spans="1:13" ht="9.75">
      <c r="A246" s="282">
        <v>11150</v>
      </c>
      <c r="B246" s="283" t="s">
        <v>163</v>
      </c>
      <c r="C246" s="283"/>
      <c r="D246" s="283"/>
      <c r="E246" s="283"/>
      <c r="F246" s="284" t="s">
        <v>119</v>
      </c>
      <c r="G246" s="284">
        <v>0</v>
      </c>
      <c r="H246" s="284">
        <v>2</v>
      </c>
      <c r="I246" s="284">
        <v>26</v>
      </c>
      <c r="J246" s="284">
        <v>0</v>
      </c>
      <c r="K246" s="284">
        <v>28</v>
      </c>
      <c r="L246" s="284"/>
      <c r="M246" s="1052"/>
    </row>
    <row r="247" spans="1:13" ht="9.75">
      <c r="A247" s="282">
        <v>11150</v>
      </c>
      <c r="B247" s="283" t="s">
        <v>163</v>
      </c>
      <c r="C247" s="283"/>
      <c r="D247" s="283"/>
      <c r="E247" s="283"/>
      <c r="F247" s="284" t="s">
        <v>122</v>
      </c>
      <c r="G247" s="284">
        <v>0</v>
      </c>
      <c r="H247" s="284">
        <v>77</v>
      </c>
      <c r="I247" s="284">
        <v>116</v>
      </c>
      <c r="J247" s="284">
        <v>2</v>
      </c>
      <c r="K247" s="284">
        <v>195</v>
      </c>
      <c r="L247" s="284"/>
      <c r="M247" s="1052"/>
    </row>
    <row r="248" spans="1:13" ht="21">
      <c r="A248" s="278">
        <v>11160</v>
      </c>
      <c r="B248" s="279" t="s">
        <v>214</v>
      </c>
      <c r="C248" s="279" t="s">
        <v>812</v>
      </c>
      <c r="D248" s="279" t="s">
        <v>813</v>
      </c>
      <c r="E248" s="280">
        <v>2.25</v>
      </c>
      <c r="F248" s="280" t="s">
        <v>132</v>
      </c>
      <c r="G248" s="280">
        <v>46</v>
      </c>
      <c r="H248" s="280">
        <v>4</v>
      </c>
      <c r="I248" s="280">
        <v>19</v>
      </c>
      <c r="J248" s="280">
        <v>0</v>
      </c>
      <c r="K248" s="280">
        <v>69</v>
      </c>
      <c r="L248" s="280">
        <v>65</v>
      </c>
      <c r="M248" s="281">
        <v>146.25</v>
      </c>
    </row>
    <row r="249" spans="1:13" ht="21">
      <c r="A249" s="274">
        <v>11160</v>
      </c>
      <c r="B249" s="275" t="s">
        <v>214</v>
      </c>
      <c r="C249" s="275" t="s">
        <v>215</v>
      </c>
      <c r="D249" s="275" t="s">
        <v>36</v>
      </c>
      <c r="E249" s="276">
        <v>2.25</v>
      </c>
      <c r="F249" s="276" t="s">
        <v>132</v>
      </c>
      <c r="G249" s="276">
        <v>0</v>
      </c>
      <c r="H249" s="276">
        <v>0</v>
      </c>
      <c r="I249" s="276">
        <v>3</v>
      </c>
      <c r="J249" s="276">
        <v>0</v>
      </c>
      <c r="K249" s="276">
        <v>3</v>
      </c>
      <c r="L249" s="276">
        <v>3</v>
      </c>
      <c r="M249" s="277">
        <v>6.75</v>
      </c>
    </row>
    <row r="250" spans="1:13" ht="21">
      <c r="A250" s="278">
        <v>11160</v>
      </c>
      <c r="B250" s="279" t="s">
        <v>214</v>
      </c>
      <c r="C250" s="279" t="s">
        <v>215</v>
      </c>
      <c r="D250" s="279" t="s">
        <v>36</v>
      </c>
      <c r="E250" s="280">
        <v>2.25</v>
      </c>
      <c r="F250" s="280" t="s">
        <v>109</v>
      </c>
      <c r="G250" s="280">
        <v>0</v>
      </c>
      <c r="H250" s="280">
        <v>11</v>
      </c>
      <c r="I250" s="280">
        <v>79</v>
      </c>
      <c r="J250" s="280">
        <v>2</v>
      </c>
      <c r="K250" s="280">
        <v>92</v>
      </c>
      <c r="L250" s="280">
        <v>80</v>
      </c>
      <c r="M250" s="281">
        <v>180</v>
      </c>
    </row>
    <row r="251" spans="1:13" ht="21">
      <c r="A251" s="274">
        <v>11160</v>
      </c>
      <c r="B251" s="275" t="s">
        <v>214</v>
      </c>
      <c r="C251" s="275" t="s">
        <v>814</v>
      </c>
      <c r="D251" s="275" t="s">
        <v>33</v>
      </c>
      <c r="E251" s="276">
        <v>2.25</v>
      </c>
      <c r="F251" s="276" t="s">
        <v>110</v>
      </c>
      <c r="G251" s="276">
        <v>248</v>
      </c>
      <c r="H251" s="276">
        <v>1</v>
      </c>
      <c r="I251" s="276">
        <v>40</v>
      </c>
      <c r="J251" s="276">
        <v>0</v>
      </c>
      <c r="K251" s="276">
        <v>289</v>
      </c>
      <c r="L251" s="276">
        <v>288</v>
      </c>
      <c r="M251" s="277">
        <v>648</v>
      </c>
    </row>
    <row r="252" spans="1:13" ht="21">
      <c r="A252" s="278">
        <v>11160</v>
      </c>
      <c r="B252" s="279" t="s">
        <v>214</v>
      </c>
      <c r="C252" s="279" t="s">
        <v>32</v>
      </c>
      <c r="D252" s="279" t="s">
        <v>33</v>
      </c>
      <c r="E252" s="280">
        <v>2.25</v>
      </c>
      <c r="F252" s="280" t="s">
        <v>113</v>
      </c>
      <c r="G252" s="280">
        <v>0</v>
      </c>
      <c r="H252" s="280">
        <v>15</v>
      </c>
      <c r="I252" s="280">
        <v>732</v>
      </c>
      <c r="J252" s="280">
        <v>7</v>
      </c>
      <c r="K252" s="280">
        <v>754</v>
      </c>
      <c r="L252" s="280">
        <v>735.5</v>
      </c>
      <c r="M252" s="281">
        <v>1654.88</v>
      </c>
    </row>
    <row r="253" spans="1:13" ht="21">
      <c r="A253" s="274">
        <v>11160</v>
      </c>
      <c r="B253" s="275" t="s">
        <v>214</v>
      </c>
      <c r="C253" s="275" t="s">
        <v>216</v>
      </c>
      <c r="D253" s="275" t="s">
        <v>36</v>
      </c>
      <c r="E253" s="276">
        <v>2.25</v>
      </c>
      <c r="F253" s="276" t="s">
        <v>116</v>
      </c>
      <c r="G253" s="276">
        <v>0</v>
      </c>
      <c r="H253" s="276">
        <v>1</v>
      </c>
      <c r="I253" s="276">
        <v>40</v>
      </c>
      <c r="J253" s="276">
        <v>0</v>
      </c>
      <c r="K253" s="276">
        <v>41</v>
      </c>
      <c r="L253" s="276">
        <v>40</v>
      </c>
      <c r="M253" s="277">
        <v>90</v>
      </c>
    </row>
    <row r="254" spans="1:13" ht="21">
      <c r="A254" s="278">
        <v>11160</v>
      </c>
      <c r="B254" s="279" t="s">
        <v>214</v>
      </c>
      <c r="C254" s="279" t="s">
        <v>216</v>
      </c>
      <c r="D254" s="279" t="s">
        <v>36</v>
      </c>
      <c r="E254" s="280">
        <v>2.25</v>
      </c>
      <c r="F254" s="280" t="s">
        <v>114</v>
      </c>
      <c r="G254" s="280">
        <v>0</v>
      </c>
      <c r="H254" s="280">
        <v>0</v>
      </c>
      <c r="I254" s="280">
        <v>31</v>
      </c>
      <c r="J254" s="280">
        <v>1</v>
      </c>
      <c r="K254" s="280">
        <v>32</v>
      </c>
      <c r="L254" s="280">
        <v>31.5</v>
      </c>
      <c r="M254" s="281">
        <v>70.88</v>
      </c>
    </row>
    <row r="255" spans="1:13" ht="21">
      <c r="A255" s="274">
        <v>11160</v>
      </c>
      <c r="B255" s="275" t="s">
        <v>214</v>
      </c>
      <c r="C255" s="275" t="s">
        <v>815</v>
      </c>
      <c r="D255" s="275" t="s">
        <v>816</v>
      </c>
      <c r="E255" s="276">
        <v>2.8</v>
      </c>
      <c r="F255" s="276" t="s">
        <v>119</v>
      </c>
      <c r="G255" s="276">
        <v>0</v>
      </c>
      <c r="H255" s="276">
        <v>0</v>
      </c>
      <c r="I255" s="276">
        <v>3</v>
      </c>
      <c r="J255" s="276">
        <v>0</v>
      </c>
      <c r="K255" s="276">
        <v>3</v>
      </c>
      <c r="L255" s="276">
        <v>3</v>
      </c>
      <c r="M255" s="277">
        <v>8.4</v>
      </c>
    </row>
    <row r="256" spans="1:13" ht="21">
      <c r="A256" s="278">
        <v>11160</v>
      </c>
      <c r="B256" s="279" t="s">
        <v>214</v>
      </c>
      <c r="C256" s="279" t="s">
        <v>817</v>
      </c>
      <c r="D256" s="279" t="s">
        <v>818</v>
      </c>
      <c r="E256" s="280">
        <v>2.8</v>
      </c>
      <c r="F256" s="280" t="s">
        <v>119</v>
      </c>
      <c r="G256" s="280">
        <v>0</v>
      </c>
      <c r="H256" s="280">
        <v>0</v>
      </c>
      <c r="I256" s="280">
        <v>3</v>
      </c>
      <c r="J256" s="280">
        <v>0</v>
      </c>
      <c r="K256" s="280">
        <v>3</v>
      </c>
      <c r="L256" s="280">
        <v>3</v>
      </c>
      <c r="M256" s="281">
        <v>8.4</v>
      </c>
    </row>
    <row r="257" spans="1:13" ht="21">
      <c r="A257" s="274">
        <v>11160</v>
      </c>
      <c r="B257" s="275" t="s">
        <v>214</v>
      </c>
      <c r="C257" s="275" t="s">
        <v>817</v>
      </c>
      <c r="D257" s="275" t="s">
        <v>818</v>
      </c>
      <c r="E257" s="276">
        <v>2.8</v>
      </c>
      <c r="F257" s="276" t="s">
        <v>122</v>
      </c>
      <c r="G257" s="276">
        <v>0</v>
      </c>
      <c r="H257" s="276">
        <v>2</v>
      </c>
      <c r="I257" s="276">
        <v>5</v>
      </c>
      <c r="J257" s="276">
        <v>0</v>
      </c>
      <c r="K257" s="276">
        <v>7</v>
      </c>
      <c r="L257" s="276">
        <v>5</v>
      </c>
      <c r="M257" s="277">
        <v>14</v>
      </c>
    </row>
    <row r="258" spans="1:13" ht="21">
      <c r="A258" s="278">
        <v>11160</v>
      </c>
      <c r="B258" s="279" t="s">
        <v>214</v>
      </c>
      <c r="C258" s="279" t="s">
        <v>819</v>
      </c>
      <c r="D258" s="279" t="s">
        <v>820</v>
      </c>
      <c r="E258" s="280">
        <v>2.25</v>
      </c>
      <c r="F258" s="280" t="s">
        <v>119</v>
      </c>
      <c r="G258" s="280">
        <v>0</v>
      </c>
      <c r="H258" s="280">
        <v>0</v>
      </c>
      <c r="I258" s="280">
        <v>1</v>
      </c>
      <c r="J258" s="280">
        <v>0</v>
      </c>
      <c r="K258" s="280">
        <v>1</v>
      </c>
      <c r="L258" s="280">
        <v>1</v>
      </c>
      <c r="M258" s="281">
        <v>2.25</v>
      </c>
    </row>
    <row r="259" spans="1:13" ht="21">
      <c r="A259" s="274">
        <v>11160</v>
      </c>
      <c r="B259" s="275" t="s">
        <v>214</v>
      </c>
      <c r="C259" s="275" t="s">
        <v>819</v>
      </c>
      <c r="D259" s="275" t="s">
        <v>820</v>
      </c>
      <c r="E259" s="276">
        <v>2.25</v>
      </c>
      <c r="F259" s="276" t="s">
        <v>122</v>
      </c>
      <c r="G259" s="276">
        <v>0</v>
      </c>
      <c r="H259" s="276">
        <v>2</v>
      </c>
      <c r="I259" s="276">
        <v>9</v>
      </c>
      <c r="J259" s="276">
        <v>0</v>
      </c>
      <c r="K259" s="276">
        <v>11</v>
      </c>
      <c r="L259" s="276">
        <v>9</v>
      </c>
      <c r="M259" s="277">
        <v>20.25</v>
      </c>
    </row>
    <row r="260" spans="1:13" ht="21">
      <c r="A260" s="278">
        <v>11160</v>
      </c>
      <c r="B260" s="279" t="s">
        <v>214</v>
      </c>
      <c r="C260" s="279" t="s">
        <v>821</v>
      </c>
      <c r="D260" s="279" t="s">
        <v>822</v>
      </c>
      <c r="E260" s="280">
        <v>2.25</v>
      </c>
      <c r="F260" s="280" t="s">
        <v>119</v>
      </c>
      <c r="G260" s="280">
        <v>0</v>
      </c>
      <c r="H260" s="280">
        <v>0</v>
      </c>
      <c r="I260" s="280">
        <v>2</v>
      </c>
      <c r="J260" s="280">
        <v>0</v>
      </c>
      <c r="K260" s="280">
        <v>2</v>
      </c>
      <c r="L260" s="280">
        <v>2</v>
      </c>
      <c r="M260" s="281">
        <v>4.5</v>
      </c>
    </row>
    <row r="261" spans="1:13" ht="21">
      <c r="A261" s="274">
        <v>11160</v>
      </c>
      <c r="B261" s="275" t="s">
        <v>214</v>
      </c>
      <c r="C261" s="275" t="s">
        <v>821</v>
      </c>
      <c r="D261" s="275" t="s">
        <v>822</v>
      </c>
      <c r="E261" s="276">
        <v>2.25</v>
      </c>
      <c r="F261" s="276" t="s">
        <v>122</v>
      </c>
      <c r="G261" s="276">
        <v>0</v>
      </c>
      <c r="H261" s="276">
        <v>1</v>
      </c>
      <c r="I261" s="276">
        <v>14</v>
      </c>
      <c r="J261" s="276">
        <v>1</v>
      </c>
      <c r="K261" s="276">
        <v>16</v>
      </c>
      <c r="L261" s="276">
        <v>14.5</v>
      </c>
      <c r="M261" s="277">
        <v>32.63</v>
      </c>
    </row>
    <row r="262" spans="1:13" ht="21">
      <c r="A262" s="278">
        <v>11160</v>
      </c>
      <c r="B262" s="279" t="s">
        <v>214</v>
      </c>
      <c r="C262" s="279" t="s">
        <v>823</v>
      </c>
      <c r="D262" s="279" t="s">
        <v>824</v>
      </c>
      <c r="E262" s="280">
        <v>2.25</v>
      </c>
      <c r="F262" s="280" t="s">
        <v>119</v>
      </c>
      <c r="G262" s="280">
        <v>0</v>
      </c>
      <c r="H262" s="280">
        <v>0</v>
      </c>
      <c r="I262" s="280">
        <v>4</v>
      </c>
      <c r="J262" s="280">
        <v>0</v>
      </c>
      <c r="K262" s="280">
        <v>4</v>
      </c>
      <c r="L262" s="280">
        <v>4</v>
      </c>
      <c r="M262" s="281">
        <v>9</v>
      </c>
    </row>
    <row r="263" spans="1:13" ht="21">
      <c r="A263" s="274">
        <v>11160</v>
      </c>
      <c r="B263" s="275" t="s">
        <v>214</v>
      </c>
      <c r="C263" s="275" t="s">
        <v>823</v>
      </c>
      <c r="D263" s="275" t="s">
        <v>824</v>
      </c>
      <c r="E263" s="276">
        <v>2.25</v>
      </c>
      <c r="F263" s="276" t="s">
        <v>122</v>
      </c>
      <c r="G263" s="276">
        <v>0</v>
      </c>
      <c r="H263" s="276">
        <v>0</v>
      </c>
      <c r="I263" s="276">
        <v>6</v>
      </c>
      <c r="J263" s="276">
        <v>0</v>
      </c>
      <c r="K263" s="276">
        <v>6</v>
      </c>
      <c r="L263" s="276">
        <v>6</v>
      </c>
      <c r="M263" s="277">
        <v>13.5</v>
      </c>
    </row>
    <row r="264" spans="1:13" ht="21">
      <c r="A264" s="278">
        <v>11160</v>
      </c>
      <c r="B264" s="279" t="s">
        <v>214</v>
      </c>
      <c r="C264" s="279" t="s">
        <v>825</v>
      </c>
      <c r="D264" s="279" t="s">
        <v>826</v>
      </c>
      <c r="E264" s="280">
        <v>2.25</v>
      </c>
      <c r="F264" s="280" t="s">
        <v>122</v>
      </c>
      <c r="G264" s="280">
        <v>0</v>
      </c>
      <c r="H264" s="280">
        <v>0</v>
      </c>
      <c r="I264" s="280">
        <v>3</v>
      </c>
      <c r="J264" s="280">
        <v>0</v>
      </c>
      <c r="K264" s="280">
        <v>3</v>
      </c>
      <c r="L264" s="280">
        <v>3</v>
      </c>
      <c r="M264" s="281">
        <v>6.75</v>
      </c>
    </row>
    <row r="265" spans="1:13" ht="21">
      <c r="A265" s="274">
        <v>11160</v>
      </c>
      <c r="B265" s="275" t="s">
        <v>214</v>
      </c>
      <c r="C265" s="275" t="s">
        <v>827</v>
      </c>
      <c r="D265" s="275" t="s">
        <v>828</v>
      </c>
      <c r="E265" s="276">
        <v>2.25</v>
      </c>
      <c r="F265" s="276" t="s">
        <v>119</v>
      </c>
      <c r="G265" s="276">
        <v>0</v>
      </c>
      <c r="H265" s="276">
        <v>0</v>
      </c>
      <c r="I265" s="276">
        <v>1</v>
      </c>
      <c r="J265" s="276">
        <v>0</v>
      </c>
      <c r="K265" s="276">
        <v>1</v>
      </c>
      <c r="L265" s="276">
        <v>1</v>
      </c>
      <c r="M265" s="277">
        <v>2.25</v>
      </c>
    </row>
    <row r="266" spans="1:13" ht="21">
      <c r="A266" s="278">
        <v>11160</v>
      </c>
      <c r="B266" s="279" t="s">
        <v>214</v>
      </c>
      <c r="C266" s="279" t="s">
        <v>827</v>
      </c>
      <c r="D266" s="279" t="s">
        <v>828</v>
      </c>
      <c r="E266" s="280">
        <v>2.25</v>
      </c>
      <c r="F266" s="280" t="s">
        <v>122</v>
      </c>
      <c r="G266" s="280">
        <v>0</v>
      </c>
      <c r="H266" s="280">
        <v>2</v>
      </c>
      <c r="I266" s="280">
        <v>8</v>
      </c>
      <c r="J266" s="280">
        <v>0</v>
      </c>
      <c r="K266" s="280">
        <v>10</v>
      </c>
      <c r="L266" s="280">
        <v>8</v>
      </c>
      <c r="M266" s="281">
        <v>18</v>
      </c>
    </row>
    <row r="267" spans="1:13" ht="21">
      <c r="A267" s="274">
        <v>11160</v>
      </c>
      <c r="B267" s="275" t="s">
        <v>214</v>
      </c>
      <c r="C267" s="275" t="s">
        <v>829</v>
      </c>
      <c r="D267" s="275" t="s">
        <v>830</v>
      </c>
      <c r="E267" s="276">
        <v>2.25</v>
      </c>
      <c r="F267" s="276" t="s">
        <v>119</v>
      </c>
      <c r="G267" s="276">
        <v>0</v>
      </c>
      <c r="H267" s="276">
        <v>0</v>
      </c>
      <c r="I267" s="276">
        <v>2</v>
      </c>
      <c r="J267" s="276">
        <v>0</v>
      </c>
      <c r="K267" s="276">
        <v>2</v>
      </c>
      <c r="L267" s="276">
        <v>2</v>
      </c>
      <c r="M267" s="277">
        <v>4.5</v>
      </c>
    </row>
    <row r="268" spans="1:13" ht="21">
      <c r="A268" s="278">
        <v>11160</v>
      </c>
      <c r="B268" s="279" t="s">
        <v>214</v>
      </c>
      <c r="C268" s="279" t="s">
        <v>829</v>
      </c>
      <c r="D268" s="279" t="s">
        <v>830</v>
      </c>
      <c r="E268" s="280">
        <v>2.25</v>
      </c>
      <c r="F268" s="280" t="s">
        <v>122</v>
      </c>
      <c r="G268" s="280">
        <v>0</v>
      </c>
      <c r="H268" s="280">
        <v>0</v>
      </c>
      <c r="I268" s="280">
        <v>2</v>
      </c>
      <c r="J268" s="280">
        <v>0</v>
      </c>
      <c r="K268" s="280">
        <v>2</v>
      </c>
      <c r="L268" s="280">
        <v>2</v>
      </c>
      <c r="M268" s="281">
        <v>4.5</v>
      </c>
    </row>
    <row r="269" spans="1:13" ht="21">
      <c r="A269" s="274">
        <v>11160</v>
      </c>
      <c r="B269" s="275" t="s">
        <v>214</v>
      </c>
      <c r="C269" s="275" t="s">
        <v>831</v>
      </c>
      <c r="D269" s="275" t="s">
        <v>832</v>
      </c>
      <c r="E269" s="276">
        <v>2.25</v>
      </c>
      <c r="F269" s="276" t="s">
        <v>119</v>
      </c>
      <c r="G269" s="276">
        <v>0</v>
      </c>
      <c r="H269" s="276">
        <v>0</v>
      </c>
      <c r="I269" s="276">
        <v>1</v>
      </c>
      <c r="J269" s="276">
        <v>0</v>
      </c>
      <c r="K269" s="276">
        <v>1</v>
      </c>
      <c r="L269" s="276">
        <v>1</v>
      </c>
      <c r="M269" s="277">
        <v>2.25</v>
      </c>
    </row>
    <row r="270" spans="1:13" ht="21">
      <c r="A270" s="278">
        <v>11160</v>
      </c>
      <c r="B270" s="279" t="s">
        <v>214</v>
      </c>
      <c r="C270" s="279" t="s">
        <v>831</v>
      </c>
      <c r="D270" s="279" t="s">
        <v>832</v>
      </c>
      <c r="E270" s="280">
        <v>2.25</v>
      </c>
      <c r="F270" s="280" t="s">
        <v>122</v>
      </c>
      <c r="G270" s="280">
        <v>0</v>
      </c>
      <c r="H270" s="280">
        <v>0</v>
      </c>
      <c r="I270" s="280">
        <v>1</v>
      </c>
      <c r="J270" s="280">
        <v>0</v>
      </c>
      <c r="K270" s="280">
        <v>1</v>
      </c>
      <c r="L270" s="280">
        <v>1</v>
      </c>
      <c r="M270" s="281">
        <v>2.25</v>
      </c>
    </row>
    <row r="271" spans="1:13" ht="21">
      <c r="A271" s="274">
        <v>11160</v>
      </c>
      <c r="B271" s="275" t="s">
        <v>214</v>
      </c>
      <c r="C271" s="275" t="s">
        <v>833</v>
      </c>
      <c r="D271" s="275" t="s">
        <v>834</v>
      </c>
      <c r="E271" s="276">
        <v>2.25</v>
      </c>
      <c r="F271" s="276" t="s">
        <v>119</v>
      </c>
      <c r="G271" s="276">
        <v>0</v>
      </c>
      <c r="H271" s="276">
        <v>0</v>
      </c>
      <c r="I271" s="276">
        <v>3</v>
      </c>
      <c r="J271" s="276">
        <v>0</v>
      </c>
      <c r="K271" s="276">
        <v>3</v>
      </c>
      <c r="L271" s="276">
        <v>3</v>
      </c>
      <c r="M271" s="277">
        <v>6.75</v>
      </c>
    </row>
    <row r="272" spans="1:13" ht="21">
      <c r="A272" s="278">
        <v>11160</v>
      </c>
      <c r="B272" s="279" t="s">
        <v>214</v>
      </c>
      <c r="C272" s="279" t="s">
        <v>833</v>
      </c>
      <c r="D272" s="279" t="s">
        <v>834</v>
      </c>
      <c r="E272" s="280">
        <v>2.25</v>
      </c>
      <c r="F272" s="280" t="s">
        <v>122</v>
      </c>
      <c r="G272" s="280">
        <v>0</v>
      </c>
      <c r="H272" s="280">
        <v>3</v>
      </c>
      <c r="I272" s="280">
        <v>11</v>
      </c>
      <c r="J272" s="280">
        <v>0</v>
      </c>
      <c r="K272" s="280">
        <v>14</v>
      </c>
      <c r="L272" s="280">
        <v>11</v>
      </c>
      <c r="M272" s="281">
        <v>24.75</v>
      </c>
    </row>
    <row r="273" spans="1:13" ht="21">
      <c r="A273" s="274">
        <v>11160</v>
      </c>
      <c r="B273" s="275" t="s">
        <v>214</v>
      </c>
      <c r="C273" s="275" t="s">
        <v>835</v>
      </c>
      <c r="D273" s="275" t="s">
        <v>836</v>
      </c>
      <c r="E273" s="276">
        <v>2.25</v>
      </c>
      <c r="F273" s="276" t="s">
        <v>122</v>
      </c>
      <c r="G273" s="276">
        <v>0</v>
      </c>
      <c r="H273" s="276">
        <v>0</v>
      </c>
      <c r="I273" s="276">
        <v>6</v>
      </c>
      <c r="J273" s="276">
        <v>0</v>
      </c>
      <c r="K273" s="276">
        <v>6</v>
      </c>
      <c r="L273" s="276">
        <v>6</v>
      </c>
      <c r="M273" s="277">
        <v>13.5</v>
      </c>
    </row>
    <row r="274" spans="1:13" ht="21">
      <c r="A274" s="278">
        <v>11160</v>
      </c>
      <c r="B274" s="279" t="s">
        <v>214</v>
      </c>
      <c r="C274" s="279" t="s">
        <v>837</v>
      </c>
      <c r="D274" s="279" t="s">
        <v>162</v>
      </c>
      <c r="E274" s="280">
        <v>2.25</v>
      </c>
      <c r="F274" s="280" t="s">
        <v>119</v>
      </c>
      <c r="G274" s="280">
        <v>0</v>
      </c>
      <c r="H274" s="280">
        <v>0</v>
      </c>
      <c r="I274" s="280">
        <v>2</v>
      </c>
      <c r="J274" s="280">
        <v>0</v>
      </c>
      <c r="K274" s="280">
        <v>2</v>
      </c>
      <c r="L274" s="280">
        <v>2</v>
      </c>
      <c r="M274" s="281">
        <v>4.5</v>
      </c>
    </row>
    <row r="275" spans="1:13" ht="21">
      <c r="A275" s="274">
        <v>11160</v>
      </c>
      <c r="B275" s="275" t="s">
        <v>214</v>
      </c>
      <c r="C275" s="275" t="s">
        <v>837</v>
      </c>
      <c r="D275" s="275" t="s">
        <v>162</v>
      </c>
      <c r="E275" s="276">
        <v>2.25</v>
      </c>
      <c r="F275" s="276" t="s">
        <v>122</v>
      </c>
      <c r="G275" s="276">
        <v>0</v>
      </c>
      <c r="H275" s="276">
        <v>5</v>
      </c>
      <c r="I275" s="276">
        <v>15</v>
      </c>
      <c r="J275" s="276">
        <v>1</v>
      </c>
      <c r="K275" s="276">
        <v>21</v>
      </c>
      <c r="L275" s="276">
        <v>15.5</v>
      </c>
      <c r="M275" s="277">
        <v>34.88</v>
      </c>
    </row>
    <row r="276" spans="1:13" ht="21">
      <c r="A276" s="278">
        <v>11160</v>
      </c>
      <c r="B276" s="279" t="s">
        <v>214</v>
      </c>
      <c r="C276" s="279" t="s">
        <v>838</v>
      </c>
      <c r="D276" s="279" t="s">
        <v>839</v>
      </c>
      <c r="E276" s="280">
        <v>2.25</v>
      </c>
      <c r="F276" s="280" t="s">
        <v>119</v>
      </c>
      <c r="G276" s="280">
        <v>0</v>
      </c>
      <c r="H276" s="280">
        <v>0</v>
      </c>
      <c r="I276" s="280">
        <v>2</v>
      </c>
      <c r="J276" s="280">
        <v>0</v>
      </c>
      <c r="K276" s="280">
        <v>2</v>
      </c>
      <c r="L276" s="280">
        <v>2</v>
      </c>
      <c r="M276" s="281">
        <v>4.5</v>
      </c>
    </row>
    <row r="277" spans="1:13" ht="21">
      <c r="A277" s="274">
        <v>11160</v>
      </c>
      <c r="B277" s="275" t="s">
        <v>214</v>
      </c>
      <c r="C277" s="275" t="s">
        <v>838</v>
      </c>
      <c r="D277" s="275" t="s">
        <v>839</v>
      </c>
      <c r="E277" s="276">
        <v>2.25</v>
      </c>
      <c r="F277" s="276" t="s">
        <v>122</v>
      </c>
      <c r="G277" s="276">
        <v>0</v>
      </c>
      <c r="H277" s="276">
        <v>0</v>
      </c>
      <c r="I277" s="276">
        <v>1</v>
      </c>
      <c r="J277" s="276">
        <v>0</v>
      </c>
      <c r="K277" s="276">
        <v>1</v>
      </c>
      <c r="L277" s="276">
        <v>1</v>
      </c>
      <c r="M277" s="277">
        <v>2.25</v>
      </c>
    </row>
    <row r="278" spans="1:13" ht="21">
      <c r="A278" s="278">
        <v>11160</v>
      </c>
      <c r="B278" s="279" t="s">
        <v>214</v>
      </c>
      <c r="C278" s="279" t="s">
        <v>840</v>
      </c>
      <c r="D278" s="279" t="s">
        <v>841</v>
      </c>
      <c r="E278" s="280">
        <v>2.25</v>
      </c>
      <c r="F278" s="280" t="s">
        <v>119</v>
      </c>
      <c r="G278" s="280">
        <v>0</v>
      </c>
      <c r="H278" s="280">
        <v>0</v>
      </c>
      <c r="I278" s="280">
        <v>1</v>
      </c>
      <c r="J278" s="280">
        <v>0</v>
      </c>
      <c r="K278" s="280">
        <v>1</v>
      </c>
      <c r="L278" s="280">
        <v>1</v>
      </c>
      <c r="M278" s="281">
        <v>2.25</v>
      </c>
    </row>
    <row r="279" spans="1:13" ht="21">
      <c r="A279" s="274">
        <v>11160</v>
      </c>
      <c r="B279" s="275" t="s">
        <v>214</v>
      </c>
      <c r="C279" s="275" t="s">
        <v>840</v>
      </c>
      <c r="D279" s="275" t="s">
        <v>841</v>
      </c>
      <c r="E279" s="276">
        <v>2.25</v>
      </c>
      <c r="F279" s="276" t="s">
        <v>122</v>
      </c>
      <c r="G279" s="276">
        <v>0</v>
      </c>
      <c r="H279" s="276">
        <v>0</v>
      </c>
      <c r="I279" s="276">
        <v>2</v>
      </c>
      <c r="J279" s="276">
        <v>0</v>
      </c>
      <c r="K279" s="276">
        <v>2</v>
      </c>
      <c r="L279" s="276">
        <v>2</v>
      </c>
      <c r="M279" s="277">
        <v>4.5</v>
      </c>
    </row>
    <row r="280" spans="1:13" ht="21">
      <c r="A280" s="278">
        <v>11160</v>
      </c>
      <c r="B280" s="279" t="s">
        <v>214</v>
      </c>
      <c r="C280" s="279" t="s">
        <v>842</v>
      </c>
      <c r="D280" s="279" t="s">
        <v>843</v>
      </c>
      <c r="E280" s="280">
        <v>2.25</v>
      </c>
      <c r="F280" s="280" t="s">
        <v>119</v>
      </c>
      <c r="G280" s="280">
        <v>0</v>
      </c>
      <c r="H280" s="280">
        <v>0</v>
      </c>
      <c r="I280" s="280">
        <v>7</v>
      </c>
      <c r="J280" s="280">
        <v>0</v>
      </c>
      <c r="K280" s="280">
        <v>7</v>
      </c>
      <c r="L280" s="280">
        <v>7</v>
      </c>
      <c r="M280" s="281">
        <v>15.75</v>
      </c>
    </row>
    <row r="281" spans="1:13" ht="21">
      <c r="A281" s="274">
        <v>11160</v>
      </c>
      <c r="B281" s="275" t="s">
        <v>214</v>
      </c>
      <c r="C281" s="275" t="s">
        <v>842</v>
      </c>
      <c r="D281" s="275" t="s">
        <v>843</v>
      </c>
      <c r="E281" s="276">
        <v>2.25</v>
      </c>
      <c r="F281" s="276" t="s">
        <v>122</v>
      </c>
      <c r="G281" s="276">
        <v>0</v>
      </c>
      <c r="H281" s="276">
        <v>0</v>
      </c>
      <c r="I281" s="276">
        <v>1</v>
      </c>
      <c r="J281" s="276">
        <v>0</v>
      </c>
      <c r="K281" s="276">
        <v>1</v>
      </c>
      <c r="L281" s="276">
        <v>1</v>
      </c>
      <c r="M281" s="277">
        <v>2.25</v>
      </c>
    </row>
    <row r="282" spans="1:13" ht="21">
      <c r="A282" s="278">
        <v>11160</v>
      </c>
      <c r="B282" s="279" t="s">
        <v>214</v>
      </c>
      <c r="C282" s="279" t="s">
        <v>219</v>
      </c>
      <c r="D282" s="279" t="s">
        <v>220</v>
      </c>
      <c r="E282" s="280">
        <v>2.8</v>
      </c>
      <c r="F282" s="280" t="s">
        <v>119</v>
      </c>
      <c r="G282" s="280">
        <v>0</v>
      </c>
      <c r="H282" s="280">
        <v>0</v>
      </c>
      <c r="I282" s="280">
        <v>2</v>
      </c>
      <c r="J282" s="280">
        <v>0</v>
      </c>
      <c r="K282" s="280">
        <v>2</v>
      </c>
      <c r="L282" s="280">
        <v>2</v>
      </c>
      <c r="M282" s="281">
        <v>5.6</v>
      </c>
    </row>
    <row r="283" spans="1:13" ht="21">
      <c r="A283" s="274">
        <v>11160</v>
      </c>
      <c r="B283" s="275" t="s">
        <v>214</v>
      </c>
      <c r="C283" s="275" t="s">
        <v>219</v>
      </c>
      <c r="D283" s="275" t="s">
        <v>220</v>
      </c>
      <c r="E283" s="276">
        <v>2.8</v>
      </c>
      <c r="F283" s="276" t="s">
        <v>122</v>
      </c>
      <c r="G283" s="276">
        <v>0</v>
      </c>
      <c r="H283" s="276">
        <v>3</v>
      </c>
      <c r="I283" s="276">
        <v>14</v>
      </c>
      <c r="J283" s="276">
        <v>0</v>
      </c>
      <c r="K283" s="276">
        <v>17</v>
      </c>
      <c r="L283" s="276">
        <v>14</v>
      </c>
      <c r="M283" s="277">
        <v>39.2</v>
      </c>
    </row>
    <row r="284" spans="1:13" ht="21">
      <c r="A284" s="278">
        <v>11160</v>
      </c>
      <c r="B284" s="279" t="s">
        <v>214</v>
      </c>
      <c r="C284" s="279" t="s">
        <v>34</v>
      </c>
      <c r="D284" s="279" t="s">
        <v>33</v>
      </c>
      <c r="E284" s="280">
        <v>2.25</v>
      </c>
      <c r="F284" s="280" t="s">
        <v>119</v>
      </c>
      <c r="G284" s="280">
        <v>0</v>
      </c>
      <c r="H284" s="280">
        <v>0</v>
      </c>
      <c r="I284" s="280">
        <v>1</v>
      </c>
      <c r="J284" s="280">
        <v>0</v>
      </c>
      <c r="K284" s="280">
        <v>1</v>
      </c>
      <c r="L284" s="280">
        <v>1</v>
      </c>
      <c r="M284" s="281">
        <v>2.25</v>
      </c>
    </row>
    <row r="285" spans="1:13" ht="9.75">
      <c r="A285" s="282">
        <v>11160</v>
      </c>
      <c r="B285" s="283" t="s">
        <v>163</v>
      </c>
      <c r="C285" s="283"/>
      <c r="D285" s="283"/>
      <c r="E285" s="283"/>
      <c r="F285" s="284" t="s">
        <v>132</v>
      </c>
      <c r="G285" s="284">
        <v>46</v>
      </c>
      <c r="H285" s="284">
        <v>4</v>
      </c>
      <c r="I285" s="284">
        <v>22</v>
      </c>
      <c r="J285" s="284">
        <v>0</v>
      </c>
      <c r="K285" s="284">
        <v>72</v>
      </c>
      <c r="L285" s="284"/>
      <c r="M285" s="1052"/>
    </row>
    <row r="286" spans="1:13" ht="9.75">
      <c r="A286" s="282">
        <v>11160</v>
      </c>
      <c r="B286" s="283" t="s">
        <v>163</v>
      </c>
      <c r="C286" s="283"/>
      <c r="D286" s="283"/>
      <c r="E286" s="283"/>
      <c r="F286" s="284" t="s">
        <v>109</v>
      </c>
      <c r="G286" s="284">
        <v>0</v>
      </c>
      <c r="H286" s="284">
        <v>11</v>
      </c>
      <c r="I286" s="284">
        <v>79</v>
      </c>
      <c r="J286" s="284">
        <v>2</v>
      </c>
      <c r="K286" s="284">
        <v>92</v>
      </c>
      <c r="L286" s="284"/>
      <c r="M286" s="1052"/>
    </row>
    <row r="287" spans="1:13" ht="9.75">
      <c r="A287" s="282">
        <v>11160</v>
      </c>
      <c r="B287" s="283" t="s">
        <v>163</v>
      </c>
      <c r="C287" s="283"/>
      <c r="D287" s="283"/>
      <c r="E287" s="283"/>
      <c r="F287" s="284" t="s">
        <v>110</v>
      </c>
      <c r="G287" s="284">
        <v>248</v>
      </c>
      <c r="H287" s="284">
        <v>1</v>
      </c>
      <c r="I287" s="284">
        <v>40</v>
      </c>
      <c r="J287" s="284">
        <v>0</v>
      </c>
      <c r="K287" s="284">
        <v>289</v>
      </c>
      <c r="L287" s="284"/>
      <c r="M287" s="1052"/>
    </row>
    <row r="288" spans="1:13" ht="9.75">
      <c r="A288" s="282">
        <v>11160</v>
      </c>
      <c r="B288" s="283" t="s">
        <v>163</v>
      </c>
      <c r="C288" s="283"/>
      <c r="D288" s="283"/>
      <c r="E288" s="283"/>
      <c r="F288" s="284" t="s">
        <v>113</v>
      </c>
      <c r="G288" s="284">
        <v>0</v>
      </c>
      <c r="H288" s="284">
        <v>15</v>
      </c>
      <c r="I288" s="284">
        <v>732</v>
      </c>
      <c r="J288" s="284">
        <v>7</v>
      </c>
      <c r="K288" s="284">
        <v>754</v>
      </c>
      <c r="L288" s="284"/>
      <c r="M288" s="1052"/>
    </row>
    <row r="289" spans="1:13" ht="9.75">
      <c r="A289" s="282">
        <v>11160</v>
      </c>
      <c r="B289" s="283" t="s">
        <v>163</v>
      </c>
      <c r="C289" s="283"/>
      <c r="D289" s="283"/>
      <c r="E289" s="283"/>
      <c r="F289" s="284" t="s">
        <v>116</v>
      </c>
      <c r="G289" s="284">
        <v>0</v>
      </c>
      <c r="H289" s="284">
        <v>1</v>
      </c>
      <c r="I289" s="284">
        <v>40</v>
      </c>
      <c r="J289" s="284">
        <v>0</v>
      </c>
      <c r="K289" s="284">
        <v>41</v>
      </c>
      <c r="L289" s="284"/>
      <c r="M289" s="1052"/>
    </row>
    <row r="290" spans="1:13" ht="9.75">
      <c r="A290" s="282">
        <v>11160</v>
      </c>
      <c r="B290" s="283" t="s">
        <v>163</v>
      </c>
      <c r="C290" s="283"/>
      <c r="D290" s="283"/>
      <c r="E290" s="283"/>
      <c r="F290" s="284" t="s">
        <v>114</v>
      </c>
      <c r="G290" s="284">
        <v>0</v>
      </c>
      <c r="H290" s="284">
        <v>0</v>
      </c>
      <c r="I290" s="284">
        <v>31</v>
      </c>
      <c r="J290" s="284">
        <v>1</v>
      </c>
      <c r="K290" s="284">
        <v>32</v>
      </c>
      <c r="L290" s="284"/>
      <c r="M290" s="1052"/>
    </row>
    <row r="291" spans="1:13" ht="9.75">
      <c r="A291" s="282">
        <v>11160</v>
      </c>
      <c r="B291" s="283" t="s">
        <v>163</v>
      </c>
      <c r="C291" s="283"/>
      <c r="D291" s="283"/>
      <c r="E291" s="283"/>
      <c r="F291" s="284" t="s">
        <v>119</v>
      </c>
      <c r="G291" s="284">
        <v>0</v>
      </c>
      <c r="H291" s="284">
        <v>0</v>
      </c>
      <c r="I291" s="284">
        <v>35</v>
      </c>
      <c r="J291" s="284">
        <v>0</v>
      </c>
      <c r="K291" s="284">
        <v>35</v>
      </c>
      <c r="L291" s="284"/>
      <c r="M291" s="1052"/>
    </row>
    <row r="292" spans="1:13" ht="9.75">
      <c r="A292" s="282">
        <v>11160</v>
      </c>
      <c r="B292" s="283" t="s">
        <v>163</v>
      </c>
      <c r="C292" s="283"/>
      <c r="D292" s="283"/>
      <c r="E292" s="283"/>
      <c r="F292" s="284" t="s">
        <v>122</v>
      </c>
      <c r="G292" s="284">
        <v>0</v>
      </c>
      <c r="H292" s="284">
        <v>18</v>
      </c>
      <c r="I292" s="284">
        <v>98</v>
      </c>
      <c r="J292" s="284">
        <v>2</v>
      </c>
      <c r="K292" s="284">
        <v>118</v>
      </c>
      <c r="L292" s="284"/>
      <c r="M292" s="1052"/>
    </row>
    <row r="293" spans="1:13" ht="14.25">
      <c r="A293" s="274">
        <v>11210</v>
      </c>
      <c r="B293" s="275" t="s">
        <v>221</v>
      </c>
      <c r="C293" s="275" t="s">
        <v>844</v>
      </c>
      <c r="D293" s="275" t="s">
        <v>845</v>
      </c>
      <c r="E293" s="276">
        <v>1.2</v>
      </c>
      <c r="F293" s="276" t="s">
        <v>132</v>
      </c>
      <c r="G293" s="276">
        <v>20</v>
      </c>
      <c r="H293" s="276">
        <v>1</v>
      </c>
      <c r="I293" s="276">
        <v>6</v>
      </c>
      <c r="J293" s="276">
        <v>0</v>
      </c>
      <c r="K293" s="276">
        <v>27</v>
      </c>
      <c r="L293" s="276">
        <v>26</v>
      </c>
      <c r="M293" s="277">
        <v>31.2</v>
      </c>
    </row>
    <row r="294" spans="1:13" ht="14.25">
      <c r="A294" s="278">
        <v>11210</v>
      </c>
      <c r="B294" s="279" t="s">
        <v>221</v>
      </c>
      <c r="C294" s="279" t="s">
        <v>846</v>
      </c>
      <c r="D294" s="279" t="s">
        <v>93</v>
      </c>
      <c r="E294" s="280">
        <v>1.2</v>
      </c>
      <c r="F294" s="280" t="s">
        <v>132</v>
      </c>
      <c r="G294" s="280">
        <v>26</v>
      </c>
      <c r="H294" s="280">
        <v>12</v>
      </c>
      <c r="I294" s="280">
        <v>26</v>
      </c>
      <c r="J294" s="280">
        <v>0</v>
      </c>
      <c r="K294" s="280">
        <v>64</v>
      </c>
      <c r="L294" s="280">
        <v>52</v>
      </c>
      <c r="M294" s="281">
        <v>62.4</v>
      </c>
    </row>
    <row r="295" spans="1:13" ht="14.25">
      <c r="A295" s="274">
        <v>11210</v>
      </c>
      <c r="B295" s="275" t="s">
        <v>221</v>
      </c>
      <c r="C295" s="275" t="s">
        <v>847</v>
      </c>
      <c r="D295" s="275" t="s">
        <v>848</v>
      </c>
      <c r="E295" s="276">
        <v>1.2</v>
      </c>
      <c r="F295" s="276" t="s">
        <v>132</v>
      </c>
      <c r="G295" s="276">
        <v>12</v>
      </c>
      <c r="H295" s="276">
        <v>0</v>
      </c>
      <c r="I295" s="276">
        <v>14</v>
      </c>
      <c r="J295" s="276">
        <v>0</v>
      </c>
      <c r="K295" s="276">
        <v>26</v>
      </c>
      <c r="L295" s="276">
        <v>26</v>
      </c>
      <c r="M295" s="277">
        <v>31.2</v>
      </c>
    </row>
    <row r="296" spans="1:13" ht="14.25">
      <c r="A296" s="278">
        <v>11210</v>
      </c>
      <c r="B296" s="279" t="s">
        <v>221</v>
      </c>
      <c r="C296" s="279" t="s">
        <v>849</v>
      </c>
      <c r="D296" s="279" t="s">
        <v>850</v>
      </c>
      <c r="E296" s="280">
        <v>1.2</v>
      </c>
      <c r="F296" s="280" t="s">
        <v>132</v>
      </c>
      <c r="G296" s="280">
        <v>0</v>
      </c>
      <c r="H296" s="280">
        <v>0</v>
      </c>
      <c r="I296" s="280">
        <v>1</v>
      </c>
      <c r="J296" s="280">
        <v>0</v>
      </c>
      <c r="K296" s="280">
        <v>1</v>
      </c>
      <c r="L296" s="280">
        <v>1</v>
      </c>
      <c r="M296" s="281">
        <v>1.2</v>
      </c>
    </row>
    <row r="297" spans="1:13" ht="14.25">
      <c r="A297" s="274">
        <v>11210</v>
      </c>
      <c r="B297" s="275" t="s">
        <v>221</v>
      </c>
      <c r="C297" s="275" t="s">
        <v>851</v>
      </c>
      <c r="D297" s="275" t="s">
        <v>852</v>
      </c>
      <c r="E297" s="276">
        <v>1.2</v>
      </c>
      <c r="F297" s="276" t="s">
        <v>132</v>
      </c>
      <c r="G297" s="276">
        <v>6</v>
      </c>
      <c r="H297" s="276">
        <v>1</v>
      </c>
      <c r="I297" s="276">
        <v>4</v>
      </c>
      <c r="J297" s="276">
        <v>1</v>
      </c>
      <c r="K297" s="276">
        <v>12</v>
      </c>
      <c r="L297" s="276">
        <v>10.5</v>
      </c>
      <c r="M297" s="277">
        <v>12.6</v>
      </c>
    </row>
    <row r="298" spans="1:13" ht="14.25">
      <c r="A298" s="278">
        <v>11210</v>
      </c>
      <c r="B298" s="279" t="s">
        <v>221</v>
      </c>
      <c r="C298" s="279" t="s">
        <v>853</v>
      </c>
      <c r="D298" s="279" t="s">
        <v>854</v>
      </c>
      <c r="E298" s="280">
        <v>1.2</v>
      </c>
      <c r="F298" s="280" t="s">
        <v>132</v>
      </c>
      <c r="G298" s="280">
        <v>1</v>
      </c>
      <c r="H298" s="280">
        <v>0</v>
      </c>
      <c r="I298" s="280">
        <v>1</v>
      </c>
      <c r="J298" s="280">
        <v>0</v>
      </c>
      <c r="K298" s="280">
        <v>2</v>
      </c>
      <c r="L298" s="280">
        <v>2</v>
      </c>
      <c r="M298" s="281">
        <v>2.4</v>
      </c>
    </row>
    <row r="299" spans="1:13" ht="14.25">
      <c r="A299" s="274">
        <v>11210</v>
      </c>
      <c r="B299" s="275" t="s">
        <v>221</v>
      </c>
      <c r="C299" s="275" t="s">
        <v>855</v>
      </c>
      <c r="D299" s="275" t="s">
        <v>856</v>
      </c>
      <c r="E299" s="276">
        <v>1</v>
      </c>
      <c r="F299" s="276" t="s">
        <v>132</v>
      </c>
      <c r="G299" s="276">
        <v>15</v>
      </c>
      <c r="H299" s="276">
        <v>0</v>
      </c>
      <c r="I299" s="276">
        <v>3</v>
      </c>
      <c r="J299" s="276">
        <v>0</v>
      </c>
      <c r="K299" s="276">
        <v>18</v>
      </c>
      <c r="L299" s="276">
        <v>18</v>
      </c>
      <c r="M299" s="277">
        <v>18</v>
      </c>
    </row>
    <row r="300" spans="1:13" ht="14.25">
      <c r="A300" s="278">
        <v>11210</v>
      </c>
      <c r="B300" s="279" t="s">
        <v>221</v>
      </c>
      <c r="C300" s="279" t="s">
        <v>857</v>
      </c>
      <c r="D300" s="279" t="s">
        <v>858</v>
      </c>
      <c r="E300" s="280">
        <v>1</v>
      </c>
      <c r="F300" s="280" t="s">
        <v>132</v>
      </c>
      <c r="G300" s="280">
        <v>8</v>
      </c>
      <c r="H300" s="280">
        <v>1</v>
      </c>
      <c r="I300" s="280">
        <v>1</v>
      </c>
      <c r="J300" s="280">
        <v>0</v>
      </c>
      <c r="K300" s="280">
        <v>10</v>
      </c>
      <c r="L300" s="280">
        <v>9</v>
      </c>
      <c r="M300" s="281">
        <v>9</v>
      </c>
    </row>
    <row r="301" spans="1:13" ht="14.25">
      <c r="A301" s="274">
        <v>11210</v>
      </c>
      <c r="B301" s="275" t="s">
        <v>221</v>
      </c>
      <c r="C301" s="275" t="s">
        <v>859</v>
      </c>
      <c r="D301" s="275" t="s">
        <v>860</v>
      </c>
      <c r="E301" s="276">
        <v>1</v>
      </c>
      <c r="F301" s="276" t="s">
        <v>132</v>
      </c>
      <c r="G301" s="276">
        <v>48</v>
      </c>
      <c r="H301" s="276">
        <v>6</v>
      </c>
      <c r="I301" s="276">
        <v>15</v>
      </c>
      <c r="J301" s="276">
        <v>0</v>
      </c>
      <c r="K301" s="276">
        <v>69</v>
      </c>
      <c r="L301" s="276">
        <v>63</v>
      </c>
      <c r="M301" s="277">
        <v>63</v>
      </c>
    </row>
    <row r="302" spans="1:13" ht="14.25">
      <c r="A302" s="278">
        <v>11210</v>
      </c>
      <c r="B302" s="279" t="s">
        <v>221</v>
      </c>
      <c r="C302" s="279" t="s">
        <v>861</v>
      </c>
      <c r="D302" s="279" t="s">
        <v>224</v>
      </c>
      <c r="E302" s="280">
        <v>1</v>
      </c>
      <c r="F302" s="280" t="s">
        <v>132</v>
      </c>
      <c r="G302" s="280">
        <v>5</v>
      </c>
      <c r="H302" s="280">
        <v>2</v>
      </c>
      <c r="I302" s="280">
        <v>5</v>
      </c>
      <c r="J302" s="280">
        <v>0</v>
      </c>
      <c r="K302" s="280">
        <v>12</v>
      </c>
      <c r="L302" s="280">
        <v>10</v>
      </c>
      <c r="M302" s="281">
        <v>10</v>
      </c>
    </row>
    <row r="303" spans="1:13" ht="14.25">
      <c r="A303" s="274">
        <v>11210</v>
      </c>
      <c r="B303" s="275" t="s">
        <v>221</v>
      </c>
      <c r="C303" s="275" t="s">
        <v>862</v>
      </c>
      <c r="D303" s="275" t="s">
        <v>863</v>
      </c>
      <c r="E303" s="276">
        <v>1.2</v>
      </c>
      <c r="F303" s="276" t="s">
        <v>132</v>
      </c>
      <c r="G303" s="276">
        <v>17</v>
      </c>
      <c r="H303" s="276">
        <v>1</v>
      </c>
      <c r="I303" s="276">
        <v>6</v>
      </c>
      <c r="J303" s="276">
        <v>0</v>
      </c>
      <c r="K303" s="276">
        <v>24</v>
      </c>
      <c r="L303" s="276">
        <v>23</v>
      </c>
      <c r="M303" s="277">
        <v>27.6</v>
      </c>
    </row>
    <row r="304" spans="1:13" ht="14.25">
      <c r="A304" s="278">
        <v>11210</v>
      </c>
      <c r="B304" s="279" t="s">
        <v>221</v>
      </c>
      <c r="C304" s="279" t="s">
        <v>864</v>
      </c>
      <c r="D304" s="279" t="s">
        <v>865</v>
      </c>
      <c r="E304" s="280">
        <v>1.2</v>
      </c>
      <c r="F304" s="280" t="s">
        <v>132</v>
      </c>
      <c r="G304" s="280">
        <v>17</v>
      </c>
      <c r="H304" s="280">
        <v>0</v>
      </c>
      <c r="I304" s="280">
        <v>7</v>
      </c>
      <c r="J304" s="280">
        <v>1</v>
      </c>
      <c r="K304" s="280">
        <v>25</v>
      </c>
      <c r="L304" s="280">
        <v>24.5</v>
      </c>
      <c r="M304" s="281">
        <v>29.4</v>
      </c>
    </row>
    <row r="305" spans="1:13" ht="14.25">
      <c r="A305" s="274">
        <v>11210</v>
      </c>
      <c r="B305" s="275" t="s">
        <v>221</v>
      </c>
      <c r="C305" s="275" t="s">
        <v>866</v>
      </c>
      <c r="D305" s="275" t="s">
        <v>867</v>
      </c>
      <c r="E305" s="276">
        <v>1.2</v>
      </c>
      <c r="F305" s="276" t="s">
        <v>132</v>
      </c>
      <c r="G305" s="276">
        <v>4</v>
      </c>
      <c r="H305" s="276">
        <v>0</v>
      </c>
      <c r="I305" s="276">
        <v>4</v>
      </c>
      <c r="J305" s="276">
        <v>0</v>
      </c>
      <c r="K305" s="276">
        <v>8</v>
      </c>
      <c r="L305" s="276">
        <v>8</v>
      </c>
      <c r="M305" s="277">
        <v>9.6</v>
      </c>
    </row>
    <row r="306" spans="1:13" ht="14.25">
      <c r="A306" s="278">
        <v>11210</v>
      </c>
      <c r="B306" s="279" t="s">
        <v>221</v>
      </c>
      <c r="C306" s="279" t="s">
        <v>868</v>
      </c>
      <c r="D306" s="279" t="s">
        <v>869</v>
      </c>
      <c r="E306" s="280">
        <v>1.2</v>
      </c>
      <c r="F306" s="280" t="s">
        <v>132</v>
      </c>
      <c r="G306" s="280">
        <v>24</v>
      </c>
      <c r="H306" s="280">
        <v>0</v>
      </c>
      <c r="I306" s="280">
        <v>14</v>
      </c>
      <c r="J306" s="280">
        <v>0</v>
      </c>
      <c r="K306" s="280">
        <v>38</v>
      </c>
      <c r="L306" s="280">
        <v>38</v>
      </c>
      <c r="M306" s="281">
        <v>45.6</v>
      </c>
    </row>
    <row r="307" spans="1:13" ht="14.25">
      <c r="A307" s="274">
        <v>11210</v>
      </c>
      <c r="B307" s="275" t="s">
        <v>221</v>
      </c>
      <c r="C307" s="275" t="s">
        <v>870</v>
      </c>
      <c r="D307" s="275" t="s">
        <v>871</v>
      </c>
      <c r="E307" s="276">
        <v>1.2</v>
      </c>
      <c r="F307" s="276" t="s">
        <v>132</v>
      </c>
      <c r="G307" s="276">
        <v>6</v>
      </c>
      <c r="H307" s="276">
        <v>2</v>
      </c>
      <c r="I307" s="276">
        <v>11</v>
      </c>
      <c r="J307" s="276">
        <v>0</v>
      </c>
      <c r="K307" s="276">
        <v>19</v>
      </c>
      <c r="L307" s="276">
        <v>17</v>
      </c>
      <c r="M307" s="277">
        <v>20.4</v>
      </c>
    </row>
    <row r="308" spans="1:13" ht="14.25">
      <c r="A308" s="278">
        <v>11210</v>
      </c>
      <c r="B308" s="279" t="s">
        <v>221</v>
      </c>
      <c r="C308" s="279" t="s">
        <v>872</v>
      </c>
      <c r="D308" s="279" t="s">
        <v>873</v>
      </c>
      <c r="E308" s="280">
        <v>1.2</v>
      </c>
      <c r="F308" s="280" t="s">
        <v>132</v>
      </c>
      <c r="G308" s="280">
        <v>8</v>
      </c>
      <c r="H308" s="280">
        <v>0</v>
      </c>
      <c r="I308" s="280">
        <v>12</v>
      </c>
      <c r="J308" s="280">
        <v>0</v>
      </c>
      <c r="K308" s="280">
        <v>20</v>
      </c>
      <c r="L308" s="280">
        <v>20</v>
      </c>
      <c r="M308" s="281">
        <v>24</v>
      </c>
    </row>
    <row r="309" spans="1:13" ht="14.25">
      <c r="A309" s="274">
        <v>11210</v>
      </c>
      <c r="B309" s="275" t="s">
        <v>221</v>
      </c>
      <c r="C309" s="275" t="s">
        <v>874</v>
      </c>
      <c r="D309" s="275" t="s">
        <v>875</v>
      </c>
      <c r="E309" s="276">
        <v>1.2</v>
      </c>
      <c r="F309" s="276" t="s">
        <v>132</v>
      </c>
      <c r="G309" s="276">
        <v>17</v>
      </c>
      <c r="H309" s="276">
        <v>2</v>
      </c>
      <c r="I309" s="276">
        <v>6</v>
      </c>
      <c r="J309" s="276">
        <v>0</v>
      </c>
      <c r="K309" s="276">
        <v>25</v>
      </c>
      <c r="L309" s="276">
        <v>23</v>
      </c>
      <c r="M309" s="277">
        <v>27.6</v>
      </c>
    </row>
    <row r="310" spans="1:13" ht="14.25">
      <c r="A310" s="278">
        <v>11210</v>
      </c>
      <c r="B310" s="279" t="s">
        <v>221</v>
      </c>
      <c r="C310" s="279" t="s">
        <v>876</v>
      </c>
      <c r="D310" s="279" t="s">
        <v>877</v>
      </c>
      <c r="E310" s="280">
        <v>1.2</v>
      </c>
      <c r="F310" s="280" t="s">
        <v>132</v>
      </c>
      <c r="G310" s="280">
        <v>9</v>
      </c>
      <c r="H310" s="280">
        <v>0</v>
      </c>
      <c r="I310" s="280">
        <v>6</v>
      </c>
      <c r="J310" s="280">
        <v>0</v>
      </c>
      <c r="K310" s="280">
        <v>15</v>
      </c>
      <c r="L310" s="280">
        <v>15</v>
      </c>
      <c r="M310" s="281">
        <v>18</v>
      </c>
    </row>
    <row r="311" spans="1:13" ht="14.25">
      <c r="A311" s="274">
        <v>11210</v>
      </c>
      <c r="B311" s="275" t="s">
        <v>221</v>
      </c>
      <c r="C311" s="275" t="s">
        <v>878</v>
      </c>
      <c r="D311" s="275" t="s">
        <v>879</v>
      </c>
      <c r="E311" s="276">
        <v>1.2</v>
      </c>
      <c r="F311" s="276" t="s">
        <v>132</v>
      </c>
      <c r="G311" s="276">
        <v>17</v>
      </c>
      <c r="H311" s="276">
        <v>1</v>
      </c>
      <c r="I311" s="276">
        <v>21</v>
      </c>
      <c r="J311" s="276">
        <v>3</v>
      </c>
      <c r="K311" s="276">
        <v>42</v>
      </c>
      <c r="L311" s="276">
        <v>39.5</v>
      </c>
      <c r="M311" s="277">
        <v>47.4</v>
      </c>
    </row>
    <row r="312" spans="1:13" ht="14.25">
      <c r="A312" s="278">
        <v>11210</v>
      </c>
      <c r="B312" s="279" t="s">
        <v>221</v>
      </c>
      <c r="C312" s="279" t="s">
        <v>880</v>
      </c>
      <c r="D312" s="279" t="s">
        <v>881</v>
      </c>
      <c r="E312" s="280">
        <v>1.2</v>
      </c>
      <c r="F312" s="280" t="s">
        <v>132</v>
      </c>
      <c r="G312" s="280">
        <v>6</v>
      </c>
      <c r="H312" s="280">
        <v>1</v>
      </c>
      <c r="I312" s="280">
        <v>8</v>
      </c>
      <c r="J312" s="280">
        <v>0</v>
      </c>
      <c r="K312" s="280">
        <v>15</v>
      </c>
      <c r="L312" s="280">
        <v>14</v>
      </c>
      <c r="M312" s="281">
        <v>16.8</v>
      </c>
    </row>
    <row r="313" spans="1:13" ht="14.25">
      <c r="A313" s="274">
        <v>11210</v>
      </c>
      <c r="B313" s="275" t="s">
        <v>221</v>
      </c>
      <c r="C313" s="275" t="s">
        <v>882</v>
      </c>
      <c r="D313" s="275" t="s">
        <v>883</v>
      </c>
      <c r="E313" s="276">
        <v>1.2</v>
      </c>
      <c r="F313" s="276" t="s">
        <v>132</v>
      </c>
      <c r="G313" s="276">
        <v>3</v>
      </c>
      <c r="H313" s="276">
        <v>0</v>
      </c>
      <c r="I313" s="276">
        <v>3</v>
      </c>
      <c r="J313" s="276">
        <v>1</v>
      </c>
      <c r="K313" s="276">
        <v>7</v>
      </c>
      <c r="L313" s="276">
        <v>6.5</v>
      </c>
      <c r="M313" s="277">
        <v>7.8</v>
      </c>
    </row>
    <row r="314" spans="1:13" ht="14.25">
      <c r="A314" s="278">
        <v>11210</v>
      </c>
      <c r="B314" s="279" t="s">
        <v>221</v>
      </c>
      <c r="C314" s="279" t="s">
        <v>884</v>
      </c>
      <c r="D314" s="279" t="s">
        <v>885</v>
      </c>
      <c r="E314" s="280">
        <v>1.2</v>
      </c>
      <c r="F314" s="280" t="s">
        <v>132</v>
      </c>
      <c r="G314" s="280">
        <v>61</v>
      </c>
      <c r="H314" s="280">
        <v>2</v>
      </c>
      <c r="I314" s="280">
        <v>22</v>
      </c>
      <c r="J314" s="280">
        <v>0</v>
      </c>
      <c r="K314" s="280">
        <v>85</v>
      </c>
      <c r="L314" s="280">
        <v>83</v>
      </c>
      <c r="M314" s="281">
        <v>99.6</v>
      </c>
    </row>
    <row r="315" spans="1:13" ht="14.25">
      <c r="A315" s="274">
        <v>11210</v>
      </c>
      <c r="B315" s="275" t="s">
        <v>221</v>
      </c>
      <c r="C315" s="275" t="s">
        <v>886</v>
      </c>
      <c r="D315" s="275" t="s">
        <v>887</v>
      </c>
      <c r="E315" s="276">
        <v>1.2</v>
      </c>
      <c r="F315" s="276" t="s">
        <v>132</v>
      </c>
      <c r="G315" s="276">
        <v>0</v>
      </c>
      <c r="H315" s="276">
        <v>1</v>
      </c>
      <c r="I315" s="276">
        <v>0</v>
      </c>
      <c r="J315" s="276">
        <v>0</v>
      </c>
      <c r="K315" s="276">
        <v>1</v>
      </c>
      <c r="L315" s="276">
        <v>0</v>
      </c>
      <c r="M315" s="277">
        <v>0</v>
      </c>
    </row>
    <row r="316" spans="1:13" ht="14.25">
      <c r="A316" s="278">
        <v>11210</v>
      </c>
      <c r="B316" s="279" t="s">
        <v>221</v>
      </c>
      <c r="C316" s="279" t="s">
        <v>888</v>
      </c>
      <c r="D316" s="279" t="s">
        <v>54</v>
      </c>
      <c r="E316" s="280">
        <v>1</v>
      </c>
      <c r="F316" s="280" t="s">
        <v>132</v>
      </c>
      <c r="G316" s="280">
        <v>25</v>
      </c>
      <c r="H316" s="280">
        <v>1</v>
      </c>
      <c r="I316" s="280">
        <v>18</v>
      </c>
      <c r="J316" s="280">
        <v>0</v>
      </c>
      <c r="K316" s="280">
        <v>44</v>
      </c>
      <c r="L316" s="280">
        <v>43</v>
      </c>
      <c r="M316" s="281">
        <v>43</v>
      </c>
    </row>
    <row r="317" spans="1:13" ht="14.25">
      <c r="A317" s="274">
        <v>11210</v>
      </c>
      <c r="B317" s="275" t="s">
        <v>221</v>
      </c>
      <c r="C317" s="275" t="s">
        <v>889</v>
      </c>
      <c r="D317" s="275" t="s">
        <v>890</v>
      </c>
      <c r="E317" s="276">
        <v>1</v>
      </c>
      <c r="F317" s="276" t="s">
        <v>132</v>
      </c>
      <c r="G317" s="276">
        <v>13</v>
      </c>
      <c r="H317" s="276">
        <v>1</v>
      </c>
      <c r="I317" s="276">
        <v>19</v>
      </c>
      <c r="J317" s="276">
        <v>0</v>
      </c>
      <c r="K317" s="276">
        <v>33</v>
      </c>
      <c r="L317" s="276">
        <v>32</v>
      </c>
      <c r="M317" s="277">
        <v>32</v>
      </c>
    </row>
    <row r="318" spans="1:13" ht="14.25">
      <c r="A318" s="278">
        <v>11210</v>
      </c>
      <c r="B318" s="279" t="s">
        <v>221</v>
      </c>
      <c r="C318" s="279" t="s">
        <v>891</v>
      </c>
      <c r="D318" s="279" t="s">
        <v>892</v>
      </c>
      <c r="E318" s="280">
        <v>1</v>
      </c>
      <c r="F318" s="280" t="s">
        <v>132</v>
      </c>
      <c r="G318" s="280">
        <v>11</v>
      </c>
      <c r="H318" s="280">
        <v>5</v>
      </c>
      <c r="I318" s="280">
        <v>6</v>
      </c>
      <c r="J318" s="280">
        <v>0</v>
      </c>
      <c r="K318" s="280">
        <v>22</v>
      </c>
      <c r="L318" s="280">
        <v>17</v>
      </c>
      <c r="M318" s="281">
        <v>17</v>
      </c>
    </row>
    <row r="319" spans="1:13" ht="14.25">
      <c r="A319" s="274">
        <v>11210</v>
      </c>
      <c r="B319" s="275" t="s">
        <v>221</v>
      </c>
      <c r="C319" s="275" t="s">
        <v>893</v>
      </c>
      <c r="D319" s="275" t="s">
        <v>894</v>
      </c>
      <c r="E319" s="276">
        <v>1</v>
      </c>
      <c r="F319" s="276" t="s">
        <v>132</v>
      </c>
      <c r="G319" s="276">
        <v>4</v>
      </c>
      <c r="H319" s="276">
        <v>0</v>
      </c>
      <c r="I319" s="276">
        <v>0</v>
      </c>
      <c r="J319" s="276">
        <v>0</v>
      </c>
      <c r="K319" s="276">
        <v>4</v>
      </c>
      <c r="L319" s="276">
        <v>4</v>
      </c>
      <c r="M319" s="277">
        <v>4</v>
      </c>
    </row>
    <row r="320" spans="1:13" ht="14.25">
      <c r="A320" s="278">
        <v>11210</v>
      </c>
      <c r="B320" s="279" t="s">
        <v>221</v>
      </c>
      <c r="C320" s="279" t="s">
        <v>895</v>
      </c>
      <c r="D320" s="279" t="s">
        <v>279</v>
      </c>
      <c r="E320" s="280">
        <v>1</v>
      </c>
      <c r="F320" s="280" t="s">
        <v>132</v>
      </c>
      <c r="G320" s="280">
        <v>22</v>
      </c>
      <c r="H320" s="280">
        <v>0</v>
      </c>
      <c r="I320" s="280">
        <v>10</v>
      </c>
      <c r="J320" s="280">
        <v>0</v>
      </c>
      <c r="K320" s="280">
        <v>32</v>
      </c>
      <c r="L320" s="280">
        <v>32</v>
      </c>
      <c r="M320" s="281">
        <v>32</v>
      </c>
    </row>
    <row r="321" spans="1:13" ht="14.25">
      <c r="A321" s="274">
        <v>11210</v>
      </c>
      <c r="B321" s="275" t="s">
        <v>221</v>
      </c>
      <c r="C321" s="275" t="s">
        <v>222</v>
      </c>
      <c r="D321" s="275" t="s">
        <v>62</v>
      </c>
      <c r="E321" s="276">
        <v>1</v>
      </c>
      <c r="F321" s="276" t="s">
        <v>132</v>
      </c>
      <c r="G321" s="276">
        <v>14</v>
      </c>
      <c r="H321" s="276">
        <v>0</v>
      </c>
      <c r="I321" s="276">
        <v>24</v>
      </c>
      <c r="J321" s="276">
        <v>0</v>
      </c>
      <c r="K321" s="276">
        <v>38</v>
      </c>
      <c r="L321" s="276">
        <v>38</v>
      </c>
      <c r="M321" s="277">
        <v>38</v>
      </c>
    </row>
    <row r="322" spans="1:13" ht="14.25">
      <c r="A322" s="278">
        <v>11210</v>
      </c>
      <c r="B322" s="279" t="s">
        <v>221</v>
      </c>
      <c r="C322" s="279" t="s">
        <v>222</v>
      </c>
      <c r="D322" s="279" t="s">
        <v>62</v>
      </c>
      <c r="E322" s="280">
        <v>1</v>
      </c>
      <c r="F322" s="280" t="s">
        <v>109</v>
      </c>
      <c r="G322" s="280">
        <v>0</v>
      </c>
      <c r="H322" s="280">
        <v>14</v>
      </c>
      <c r="I322" s="280">
        <v>53</v>
      </c>
      <c r="J322" s="280">
        <v>2</v>
      </c>
      <c r="K322" s="280">
        <v>69</v>
      </c>
      <c r="L322" s="280">
        <v>54</v>
      </c>
      <c r="M322" s="281">
        <v>54</v>
      </c>
    </row>
    <row r="323" spans="1:13" ht="14.25">
      <c r="A323" s="274">
        <v>11210</v>
      </c>
      <c r="B323" s="275" t="s">
        <v>221</v>
      </c>
      <c r="C323" s="275" t="s">
        <v>223</v>
      </c>
      <c r="D323" s="275" t="s">
        <v>224</v>
      </c>
      <c r="E323" s="276">
        <v>1</v>
      </c>
      <c r="F323" s="276" t="s">
        <v>109</v>
      </c>
      <c r="G323" s="276">
        <v>0</v>
      </c>
      <c r="H323" s="276">
        <v>3</v>
      </c>
      <c r="I323" s="276">
        <v>3</v>
      </c>
      <c r="J323" s="276">
        <v>0</v>
      </c>
      <c r="K323" s="276">
        <v>6</v>
      </c>
      <c r="L323" s="276">
        <v>3</v>
      </c>
      <c r="M323" s="277">
        <v>3</v>
      </c>
    </row>
    <row r="324" spans="1:13" ht="14.25">
      <c r="A324" s="278">
        <v>11210</v>
      </c>
      <c r="B324" s="279" t="s">
        <v>221</v>
      </c>
      <c r="C324" s="279" t="s">
        <v>225</v>
      </c>
      <c r="D324" s="279" t="s">
        <v>226</v>
      </c>
      <c r="E324" s="280">
        <v>1</v>
      </c>
      <c r="F324" s="280" t="s">
        <v>132</v>
      </c>
      <c r="G324" s="280">
        <v>11</v>
      </c>
      <c r="H324" s="280">
        <v>2</v>
      </c>
      <c r="I324" s="280">
        <v>7</v>
      </c>
      <c r="J324" s="280">
        <v>0</v>
      </c>
      <c r="K324" s="280">
        <v>20</v>
      </c>
      <c r="L324" s="280">
        <v>18</v>
      </c>
      <c r="M324" s="281">
        <v>18</v>
      </c>
    </row>
    <row r="325" spans="1:13" ht="14.25">
      <c r="A325" s="274">
        <v>11210</v>
      </c>
      <c r="B325" s="275" t="s">
        <v>221</v>
      </c>
      <c r="C325" s="275" t="s">
        <v>225</v>
      </c>
      <c r="D325" s="275" t="s">
        <v>226</v>
      </c>
      <c r="E325" s="276">
        <v>1</v>
      </c>
      <c r="F325" s="276" t="s">
        <v>109</v>
      </c>
      <c r="G325" s="276">
        <v>0</v>
      </c>
      <c r="H325" s="276">
        <v>31</v>
      </c>
      <c r="I325" s="276">
        <v>219</v>
      </c>
      <c r="J325" s="276">
        <v>2</v>
      </c>
      <c r="K325" s="276">
        <v>252</v>
      </c>
      <c r="L325" s="276">
        <v>220</v>
      </c>
      <c r="M325" s="277">
        <v>220</v>
      </c>
    </row>
    <row r="326" spans="1:13" ht="14.25">
      <c r="A326" s="278">
        <v>11210</v>
      </c>
      <c r="B326" s="279" t="s">
        <v>221</v>
      </c>
      <c r="C326" s="279" t="s">
        <v>227</v>
      </c>
      <c r="D326" s="279" t="s">
        <v>50</v>
      </c>
      <c r="E326" s="280">
        <v>1</v>
      </c>
      <c r="F326" s="280" t="s">
        <v>132</v>
      </c>
      <c r="G326" s="280">
        <v>20</v>
      </c>
      <c r="H326" s="280">
        <v>1</v>
      </c>
      <c r="I326" s="280">
        <v>6</v>
      </c>
      <c r="J326" s="280">
        <v>0</v>
      </c>
      <c r="K326" s="280">
        <v>27</v>
      </c>
      <c r="L326" s="280">
        <v>26</v>
      </c>
      <c r="M326" s="281">
        <v>26</v>
      </c>
    </row>
    <row r="327" spans="1:13" ht="14.25">
      <c r="A327" s="274">
        <v>11210</v>
      </c>
      <c r="B327" s="275" t="s">
        <v>221</v>
      </c>
      <c r="C327" s="275" t="s">
        <v>227</v>
      </c>
      <c r="D327" s="275" t="s">
        <v>50</v>
      </c>
      <c r="E327" s="276">
        <v>1</v>
      </c>
      <c r="F327" s="276" t="s">
        <v>109</v>
      </c>
      <c r="G327" s="276">
        <v>0</v>
      </c>
      <c r="H327" s="276">
        <v>15</v>
      </c>
      <c r="I327" s="276">
        <v>31</v>
      </c>
      <c r="J327" s="276">
        <v>0</v>
      </c>
      <c r="K327" s="276">
        <v>46</v>
      </c>
      <c r="L327" s="276">
        <v>31</v>
      </c>
      <c r="M327" s="277">
        <v>31</v>
      </c>
    </row>
    <row r="328" spans="1:13" ht="14.25">
      <c r="A328" s="278">
        <v>11210</v>
      </c>
      <c r="B328" s="279" t="s">
        <v>221</v>
      </c>
      <c r="C328" s="279" t="s">
        <v>228</v>
      </c>
      <c r="D328" s="279" t="s">
        <v>54</v>
      </c>
      <c r="E328" s="280">
        <v>1</v>
      </c>
      <c r="F328" s="280" t="s">
        <v>109</v>
      </c>
      <c r="G328" s="280">
        <v>0</v>
      </c>
      <c r="H328" s="280">
        <v>6</v>
      </c>
      <c r="I328" s="280">
        <v>64</v>
      </c>
      <c r="J328" s="280">
        <v>2</v>
      </c>
      <c r="K328" s="280">
        <v>72</v>
      </c>
      <c r="L328" s="280">
        <v>65</v>
      </c>
      <c r="M328" s="281">
        <v>65</v>
      </c>
    </row>
    <row r="329" spans="1:13" ht="14.25">
      <c r="A329" s="274">
        <v>11210</v>
      </c>
      <c r="B329" s="275" t="s">
        <v>221</v>
      </c>
      <c r="C329" s="275" t="s">
        <v>229</v>
      </c>
      <c r="D329" s="275" t="s">
        <v>230</v>
      </c>
      <c r="E329" s="276">
        <v>1</v>
      </c>
      <c r="F329" s="276" t="s">
        <v>109</v>
      </c>
      <c r="G329" s="276">
        <v>0</v>
      </c>
      <c r="H329" s="276">
        <v>14</v>
      </c>
      <c r="I329" s="276">
        <v>50</v>
      </c>
      <c r="J329" s="276">
        <v>2</v>
      </c>
      <c r="K329" s="276">
        <v>66</v>
      </c>
      <c r="L329" s="276">
        <v>51</v>
      </c>
      <c r="M329" s="277">
        <v>51</v>
      </c>
    </row>
    <row r="330" spans="1:13" ht="14.25">
      <c r="A330" s="278">
        <v>11210</v>
      </c>
      <c r="B330" s="279" t="s">
        <v>221</v>
      </c>
      <c r="C330" s="279" t="s">
        <v>231</v>
      </c>
      <c r="D330" s="279" t="s">
        <v>39</v>
      </c>
      <c r="E330" s="280">
        <v>1</v>
      </c>
      <c r="F330" s="280" t="s">
        <v>132</v>
      </c>
      <c r="G330" s="280">
        <v>15</v>
      </c>
      <c r="H330" s="280">
        <v>1</v>
      </c>
      <c r="I330" s="280">
        <v>9</v>
      </c>
      <c r="J330" s="280">
        <v>0</v>
      </c>
      <c r="K330" s="280">
        <v>25</v>
      </c>
      <c r="L330" s="280">
        <v>24</v>
      </c>
      <c r="M330" s="281">
        <v>24</v>
      </c>
    </row>
    <row r="331" spans="1:13" ht="14.25">
      <c r="A331" s="274">
        <v>11210</v>
      </c>
      <c r="B331" s="275" t="s">
        <v>221</v>
      </c>
      <c r="C331" s="275" t="s">
        <v>231</v>
      </c>
      <c r="D331" s="275" t="s">
        <v>39</v>
      </c>
      <c r="E331" s="276">
        <v>1</v>
      </c>
      <c r="F331" s="276" t="s">
        <v>109</v>
      </c>
      <c r="G331" s="276">
        <v>0</v>
      </c>
      <c r="H331" s="276">
        <v>83</v>
      </c>
      <c r="I331" s="276">
        <v>202</v>
      </c>
      <c r="J331" s="276">
        <v>5</v>
      </c>
      <c r="K331" s="276">
        <v>290</v>
      </c>
      <c r="L331" s="276">
        <v>204.5</v>
      </c>
      <c r="M331" s="277">
        <v>204.5</v>
      </c>
    </row>
    <row r="332" spans="1:13" ht="14.25">
      <c r="A332" s="278">
        <v>11210</v>
      </c>
      <c r="B332" s="279" t="s">
        <v>221</v>
      </c>
      <c r="C332" s="279" t="s">
        <v>232</v>
      </c>
      <c r="D332" s="279" t="s">
        <v>233</v>
      </c>
      <c r="E332" s="280">
        <v>1</v>
      </c>
      <c r="F332" s="280" t="s">
        <v>132</v>
      </c>
      <c r="G332" s="280">
        <v>32</v>
      </c>
      <c r="H332" s="280">
        <v>8</v>
      </c>
      <c r="I332" s="280">
        <v>20</v>
      </c>
      <c r="J332" s="280">
        <v>0</v>
      </c>
      <c r="K332" s="280">
        <v>60</v>
      </c>
      <c r="L332" s="280">
        <v>52</v>
      </c>
      <c r="M332" s="281">
        <v>52</v>
      </c>
    </row>
    <row r="333" spans="1:13" ht="14.25">
      <c r="A333" s="274">
        <v>11210</v>
      </c>
      <c r="B333" s="275" t="s">
        <v>221</v>
      </c>
      <c r="C333" s="275" t="s">
        <v>232</v>
      </c>
      <c r="D333" s="275" t="s">
        <v>233</v>
      </c>
      <c r="E333" s="276">
        <v>1</v>
      </c>
      <c r="F333" s="276" t="s">
        <v>109</v>
      </c>
      <c r="G333" s="276">
        <v>0</v>
      </c>
      <c r="H333" s="276">
        <v>25</v>
      </c>
      <c r="I333" s="276">
        <v>101</v>
      </c>
      <c r="J333" s="276">
        <v>2</v>
      </c>
      <c r="K333" s="276">
        <v>128</v>
      </c>
      <c r="L333" s="276">
        <v>102</v>
      </c>
      <c r="M333" s="277">
        <v>102</v>
      </c>
    </row>
    <row r="334" spans="1:13" ht="14.25">
      <c r="A334" s="278">
        <v>11210</v>
      </c>
      <c r="B334" s="279" t="s">
        <v>221</v>
      </c>
      <c r="C334" s="279" t="s">
        <v>234</v>
      </c>
      <c r="D334" s="279" t="s">
        <v>41</v>
      </c>
      <c r="E334" s="280">
        <v>1.2</v>
      </c>
      <c r="F334" s="280" t="s">
        <v>132</v>
      </c>
      <c r="G334" s="280">
        <v>78</v>
      </c>
      <c r="H334" s="280">
        <v>5</v>
      </c>
      <c r="I334" s="280">
        <v>46</v>
      </c>
      <c r="J334" s="280">
        <v>1</v>
      </c>
      <c r="K334" s="280">
        <v>130</v>
      </c>
      <c r="L334" s="280">
        <v>124.5</v>
      </c>
      <c r="M334" s="281">
        <v>149.4</v>
      </c>
    </row>
    <row r="335" spans="1:13" ht="14.25">
      <c r="A335" s="274">
        <v>11210</v>
      </c>
      <c r="B335" s="275" t="s">
        <v>221</v>
      </c>
      <c r="C335" s="275" t="s">
        <v>234</v>
      </c>
      <c r="D335" s="275" t="s">
        <v>41</v>
      </c>
      <c r="E335" s="276">
        <v>1.2</v>
      </c>
      <c r="F335" s="276" t="s">
        <v>109</v>
      </c>
      <c r="G335" s="276">
        <v>0</v>
      </c>
      <c r="H335" s="276">
        <v>113</v>
      </c>
      <c r="I335" s="276">
        <v>477</v>
      </c>
      <c r="J335" s="276">
        <v>11</v>
      </c>
      <c r="K335" s="276">
        <v>601</v>
      </c>
      <c r="L335" s="276">
        <v>482.5</v>
      </c>
      <c r="M335" s="277">
        <v>579</v>
      </c>
    </row>
    <row r="336" spans="1:13" ht="14.25">
      <c r="A336" s="278">
        <v>11210</v>
      </c>
      <c r="B336" s="279" t="s">
        <v>221</v>
      </c>
      <c r="C336" s="279" t="s">
        <v>235</v>
      </c>
      <c r="D336" s="279" t="s">
        <v>236</v>
      </c>
      <c r="E336" s="280">
        <v>1.2</v>
      </c>
      <c r="F336" s="280" t="s">
        <v>132</v>
      </c>
      <c r="G336" s="280">
        <v>54</v>
      </c>
      <c r="H336" s="280">
        <v>1</v>
      </c>
      <c r="I336" s="280">
        <v>17</v>
      </c>
      <c r="J336" s="280">
        <v>0</v>
      </c>
      <c r="K336" s="280">
        <v>72</v>
      </c>
      <c r="L336" s="280">
        <v>71</v>
      </c>
      <c r="M336" s="281">
        <v>85.2</v>
      </c>
    </row>
    <row r="337" spans="1:13" ht="14.25">
      <c r="A337" s="274">
        <v>11210</v>
      </c>
      <c r="B337" s="275" t="s">
        <v>221</v>
      </c>
      <c r="C337" s="275" t="s">
        <v>235</v>
      </c>
      <c r="D337" s="275" t="s">
        <v>236</v>
      </c>
      <c r="E337" s="276">
        <v>1.2</v>
      </c>
      <c r="F337" s="276" t="s">
        <v>109</v>
      </c>
      <c r="G337" s="276">
        <v>0</v>
      </c>
      <c r="H337" s="276">
        <v>21</v>
      </c>
      <c r="I337" s="276">
        <v>77</v>
      </c>
      <c r="J337" s="276">
        <v>4</v>
      </c>
      <c r="K337" s="276">
        <v>102</v>
      </c>
      <c r="L337" s="276">
        <v>79</v>
      </c>
      <c r="M337" s="277">
        <v>94.8</v>
      </c>
    </row>
    <row r="338" spans="1:13" ht="14.25">
      <c r="A338" s="278">
        <v>11210</v>
      </c>
      <c r="B338" s="279" t="s">
        <v>221</v>
      </c>
      <c r="C338" s="279" t="s">
        <v>237</v>
      </c>
      <c r="D338" s="279" t="s">
        <v>238</v>
      </c>
      <c r="E338" s="280">
        <v>1.2</v>
      </c>
      <c r="F338" s="280" t="s">
        <v>132</v>
      </c>
      <c r="G338" s="280">
        <v>14</v>
      </c>
      <c r="H338" s="280">
        <v>2</v>
      </c>
      <c r="I338" s="280">
        <v>9</v>
      </c>
      <c r="J338" s="280">
        <v>0</v>
      </c>
      <c r="K338" s="280">
        <v>25</v>
      </c>
      <c r="L338" s="280">
        <v>23</v>
      </c>
      <c r="M338" s="281">
        <v>27.6</v>
      </c>
    </row>
    <row r="339" spans="1:13" ht="14.25">
      <c r="A339" s="274">
        <v>11210</v>
      </c>
      <c r="B339" s="275" t="s">
        <v>221</v>
      </c>
      <c r="C339" s="275" t="s">
        <v>237</v>
      </c>
      <c r="D339" s="275" t="s">
        <v>238</v>
      </c>
      <c r="E339" s="276">
        <v>1.2</v>
      </c>
      <c r="F339" s="276" t="s">
        <v>109</v>
      </c>
      <c r="G339" s="276">
        <v>0</v>
      </c>
      <c r="H339" s="276">
        <v>6</v>
      </c>
      <c r="I339" s="276">
        <v>33</v>
      </c>
      <c r="J339" s="276">
        <v>1</v>
      </c>
      <c r="K339" s="276">
        <v>40</v>
      </c>
      <c r="L339" s="276">
        <v>33.5</v>
      </c>
      <c r="M339" s="277">
        <v>40.2</v>
      </c>
    </row>
    <row r="340" spans="1:13" ht="14.25">
      <c r="A340" s="278">
        <v>11210</v>
      </c>
      <c r="B340" s="279" t="s">
        <v>221</v>
      </c>
      <c r="C340" s="279" t="s">
        <v>239</v>
      </c>
      <c r="D340" s="279" t="s">
        <v>240</v>
      </c>
      <c r="E340" s="280">
        <v>1.2</v>
      </c>
      <c r="F340" s="280" t="s">
        <v>132</v>
      </c>
      <c r="G340" s="280">
        <v>12</v>
      </c>
      <c r="H340" s="280">
        <v>0</v>
      </c>
      <c r="I340" s="280">
        <v>3</v>
      </c>
      <c r="J340" s="280">
        <v>0</v>
      </c>
      <c r="K340" s="280">
        <v>15</v>
      </c>
      <c r="L340" s="280">
        <v>15</v>
      </c>
      <c r="M340" s="281">
        <v>18</v>
      </c>
    </row>
    <row r="341" spans="1:13" ht="14.25">
      <c r="A341" s="274">
        <v>11210</v>
      </c>
      <c r="B341" s="275" t="s">
        <v>221</v>
      </c>
      <c r="C341" s="275" t="s">
        <v>239</v>
      </c>
      <c r="D341" s="275" t="s">
        <v>240</v>
      </c>
      <c r="E341" s="276">
        <v>1.2</v>
      </c>
      <c r="F341" s="276" t="s">
        <v>109</v>
      </c>
      <c r="G341" s="276">
        <v>0</v>
      </c>
      <c r="H341" s="276">
        <v>8</v>
      </c>
      <c r="I341" s="276">
        <v>50</v>
      </c>
      <c r="J341" s="276">
        <v>1</v>
      </c>
      <c r="K341" s="276">
        <v>59</v>
      </c>
      <c r="L341" s="276">
        <v>50.5</v>
      </c>
      <c r="M341" s="277">
        <v>60.6</v>
      </c>
    </row>
    <row r="342" spans="1:13" ht="14.25">
      <c r="A342" s="278">
        <v>11210</v>
      </c>
      <c r="B342" s="279" t="s">
        <v>221</v>
      </c>
      <c r="C342" s="279" t="s">
        <v>241</v>
      </c>
      <c r="D342" s="279" t="s">
        <v>93</v>
      </c>
      <c r="E342" s="280">
        <v>1</v>
      </c>
      <c r="F342" s="280" t="s">
        <v>132</v>
      </c>
      <c r="G342" s="280">
        <v>0</v>
      </c>
      <c r="H342" s="280">
        <v>0</v>
      </c>
      <c r="I342" s="280">
        <v>1</v>
      </c>
      <c r="J342" s="280">
        <v>0</v>
      </c>
      <c r="K342" s="280">
        <v>1</v>
      </c>
      <c r="L342" s="280">
        <v>1</v>
      </c>
      <c r="M342" s="281">
        <v>1</v>
      </c>
    </row>
    <row r="343" spans="1:13" ht="14.25">
      <c r="A343" s="274">
        <v>11210</v>
      </c>
      <c r="B343" s="275" t="s">
        <v>221</v>
      </c>
      <c r="C343" s="275" t="s">
        <v>241</v>
      </c>
      <c r="D343" s="275" t="s">
        <v>93</v>
      </c>
      <c r="E343" s="276">
        <v>1</v>
      </c>
      <c r="F343" s="276" t="s">
        <v>109</v>
      </c>
      <c r="G343" s="276">
        <v>0</v>
      </c>
      <c r="H343" s="276">
        <v>25</v>
      </c>
      <c r="I343" s="276">
        <v>100</v>
      </c>
      <c r="J343" s="276">
        <v>1</v>
      </c>
      <c r="K343" s="276">
        <v>126</v>
      </c>
      <c r="L343" s="276">
        <v>100.5</v>
      </c>
      <c r="M343" s="277">
        <v>100.5</v>
      </c>
    </row>
    <row r="344" spans="1:13" ht="14.25">
      <c r="A344" s="278">
        <v>11210</v>
      </c>
      <c r="B344" s="279" t="s">
        <v>221</v>
      </c>
      <c r="C344" s="279" t="s">
        <v>242</v>
      </c>
      <c r="D344" s="279" t="s">
        <v>20</v>
      </c>
      <c r="E344" s="280">
        <v>1</v>
      </c>
      <c r="F344" s="280" t="s">
        <v>132</v>
      </c>
      <c r="G344" s="280">
        <v>24</v>
      </c>
      <c r="H344" s="280">
        <v>0</v>
      </c>
      <c r="I344" s="280">
        <v>37</v>
      </c>
      <c r="J344" s="280">
        <v>2</v>
      </c>
      <c r="K344" s="280">
        <v>63</v>
      </c>
      <c r="L344" s="280">
        <v>62</v>
      </c>
      <c r="M344" s="281">
        <v>62</v>
      </c>
    </row>
    <row r="345" spans="1:13" ht="14.25">
      <c r="A345" s="274">
        <v>11210</v>
      </c>
      <c r="B345" s="275" t="s">
        <v>221</v>
      </c>
      <c r="C345" s="275" t="s">
        <v>242</v>
      </c>
      <c r="D345" s="275" t="s">
        <v>20</v>
      </c>
      <c r="E345" s="276">
        <v>1</v>
      </c>
      <c r="F345" s="276" t="s">
        <v>109</v>
      </c>
      <c r="G345" s="276">
        <v>0</v>
      </c>
      <c r="H345" s="276">
        <v>11</v>
      </c>
      <c r="I345" s="276">
        <v>125</v>
      </c>
      <c r="J345" s="276">
        <v>2</v>
      </c>
      <c r="K345" s="276">
        <v>138</v>
      </c>
      <c r="L345" s="276">
        <v>126</v>
      </c>
      <c r="M345" s="277">
        <v>126</v>
      </c>
    </row>
    <row r="346" spans="1:13" ht="14.25">
      <c r="A346" s="278">
        <v>11210</v>
      </c>
      <c r="B346" s="279" t="s">
        <v>221</v>
      </c>
      <c r="C346" s="279" t="s">
        <v>243</v>
      </c>
      <c r="D346" s="279" t="s">
        <v>244</v>
      </c>
      <c r="E346" s="280">
        <v>1</v>
      </c>
      <c r="F346" s="280" t="s">
        <v>132</v>
      </c>
      <c r="G346" s="280">
        <v>50</v>
      </c>
      <c r="H346" s="280">
        <v>5</v>
      </c>
      <c r="I346" s="280">
        <v>23</v>
      </c>
      <c r="J346" s="280">
        <v>0</v>
      </c>
      <c r="K346" s="280">
        <v>78</v>
      </c>
      <c r="L346" s="280">
        <v>73</v>
      </c>
      <c r="M346" s="281">
        <v>73</v>
      </c>
    </row>
    <row r="347" spans="1:13" ht="14.25">
      <c r="A347" s="274">
        <v>11210</v>
      </c>
      <c r="B347" s="275" t="s">
        <v>221</v>
      </c>
      <c r="C347" s="275" t="s">
        <v>243</v>
      </c>
      <c r="D347" s="275" t="s">
        <v>244</v>
      </c>
      <c r="E347" s="276">
        <v>1</v>
      </c>
      <c r="F347" s="276" t="s">
        <v>109</v>
      </c>
      <c r="G347" s="276">
        <v>0</v>
      </c>
      <c r="H347" s="276">
        <v>45</v>
      </c>
      <c r="I347" s="276">
        <v>133</v>
      </c>
      <c r="J347" s="276">
        <v>1</v>
      </c>
      <c r="K347" s="276">
        <v>179</v>
      </c>
      <c r="L347" s="276">
        <v>133.5</v>
      </c>
      <c r="M347" s="277">
        <v>133.5</v>
      </c>
    </row>
    <row r="348" spans="1:13" ht="14.25">
      <c r="A348" s="278">
        <v>11210</v>
      </c>
      <c r="B348" s="279" t="s">
        <v>221</v>
      </c>
      <c r="C348" s="279" t="s">
        <v>896</v>
      </c>
      <c r="D348" s="279" t="s">
        <v>845</v>
      </c>
      <c r="E348" s="280">
        <v>1.2</v>
      </c>
      <c r="F348" s="280" t="s">
        <v>116</v>
      </c>
      <c r="G348" s="280">
        <v>0</v>
      </c>
      <c r="H348" s="280">
        <v>0</v>
      </c>
      <c r="I348" s="280">
        <v>23</v>
      </c>
      <c r="J348" s="280">
        <v>0</v>
      </c>
      <c r="K348" s="280">
        <v>23</v>
      </c>
      <c r="L348" s="280">
        <v>23</v>
      </c>
      <c r="M348" s="281">
        <v>27.6</v>
      </c>
    </row>
    <row r="349" spans="1:13" ht="14.25">
      <c r="A349" s="274">
        <v>11210</v>
      </c>
      <c r="B349" s="275" t="s">
        <v>221</v>
      </c>
      <c r="C349" s="275" t="s">
        <v>897</v>
      </c>
      <c r="D349" s="275" t="s">
        <v>93</v>
      </c>
      <c r="E349" s="276">
        <v>1.2</v>
      </c>
      <c r="F349" s="276" t="s">
        <v>116</v>
      </c>
      <c r="G349" s="276">
        <v>0</v>
      </c>
      <c r="H349" s="276">
        <v>1</v>
      </c>
      <c r="I349" s="276">
        <v>28</v>
      </c>
      <c r="J349" s="276">
        <v>0</v>
      </c>
      <c r="K349" s="276">
        <v>29</v>
      </c>
      <c r="L349" s="276">
        <v>28</v>
      </c>
      <c r="M349" s="277">
        <v>33.6</v>
      </c>
    </row>
    <row r="350" spans="1:13" ht="14.25">
      <c r="A350" s="278">
        <v>11210</v>
      </c>
      <c r="B350" s="279" t="s">
        <v>221</v>
      </c>
      <c r="C350" s="279" t="s">
        <v>898</v>
      </c>
      <c r="D350" s="279" t="s">
        <v>899</v>
      </c>
      <c r="E350" s="280">
        <v>1.2</v>
      </c>
      <c r="F350" s="280" t="s">
        <v>116</v>
      </c>
      <c r="G350" s="280">
        <v>0</v>
      </c>
      <c r="H350" s="280">
        <v>2</v>
      </c>
      <c r="I350" s="280">
        <v>9</v>
      </c>
      <c r="J350" s="280">
        <v>0</v>
      </c>
      <c r="K350" s="280">
        <v>11</v>
      </c>
      <c r="L350" s="280">
        <v>9</v>
      </c>
      <c r="M350" s="281">
        <v>10.8</v>
      </c>
    </row>
    <row r="351" spans="1:13" ht="14.25">
      <c r="A351" s="274">
        <v>11210</v>
      </c>
      <c r="B351" s="275" t="s">
        <v>221</v>
      </c>
      <c r="C351" s="275" t="s">
        <v>900</v>
      </c>
      <c r="D351" s="275" t="s">
        <v>901</v>
      </c>
      <c r="E351" s="276">
        <v>1.2</v>
      </c>
      <c r="F351" s="276" t="s">
        <v>116</v>
      </c>
      <c r="G351" s="276">
        <v>0</v>
      </c>
      <c r="H351" s="276">
        <v>0</v>
      </c>
      <c r="I351" s="276">
        <v>1</v>
      </c>
      <c r="J351" s="276">
        <v>0</v>
      </c>
      <c r="K351" s="276">
        <v>1</v>
      </c>
      <c r="L351" s="276">
        <v>1</v>
      </c>
      <c r="M351" s="277">
        <v>1.2</v>
      </c>
    </row>
    <row r="352" spans="1:13" ht="14.25">
      <c r="A352" s="278">
        <v>11210</v>
      </c>
      <c r="B352" s="279" t="s">
        <v>221</v>
      </c>
      <c r="C352" s="279" t="s">
        <v>902</v>
      </c>
      <c r="D352" s="279" t="s">
        <v>903</v>
      </c>
      <c r="E352" s="280">
        <v>1.2</v>
      </c>
      <c r="F352" s="280" t="s">
        <v>116</v>
      </c>
      <c r="G352" s="280">
        <v>0</v>
      </c>
      <c r="H352" s="280">
        <v>0</v>
      </c>
      <c r="I352" s="280">
        <v>1</v>
      </c>
      <c r="J352" s="280">
        <v>0</v>
      </c>
      <c r="K352" s="280">
        <v>1</v>
      </c>
      <c r="L352" s="280">
        <v>1</v>
      </c>
      <c r="M352" s="281">
        <v>1.2</v>
      </c>
    </row>
    <row r="353" spans="1:13" ht="14.25">
      <c r="A353" s="274">
        <v>11210</v>
      </c>
      <c r="B353" s="275" t="s">
        <v>221</v>
      </c>
      <c r="C353" s="275" t="s">
        <v>904</v>
      </c>
      <c r="D353" s="275" t="s">
        <v>905</v>
      </c>
      <c r="E353" s="276">
        <v>1</v>
      </c>
      <c r="F353" s="276" t="s">
        <v>116</v>
      </c>
      <c r="G353" s="276">
        <v>0</v>
      </c>
      <c r="H353" s="276">
        <v>0</v>
      </c>
      <c r="I353" s="276">
        <v>7</v>
      </c>
      <c r="J353" s="276">
        <v>0</v>
      </c>
      <c r="K353" s="276">
        <v>7</v>
      </c>
      <c r="L353" s="276">
        <v>7</v>
      </c>
      <c r="M353" s="277">
        <v>7</v>
      </c>
    </row>
    <row r="354" spans="1:13" ht="14.25">
      <c r="A354" s="278">
        <v>11210</v>
      </c>
      <c r="B354" s="279" t="s">
        <v>221</v>
      </c>
      <c r="C354" s="279" t="s">
        <v>906</v>
      </c>
      <c r="D354" s="279" t="s">
        <v>907</v>
      </c>
      <c r="E354" s="280">
        <v>1</v>
      </c>
      <c r="F354" s="280" t="s">
        <v>116</v>
      </c>
      <c r="G354" s="280">
        <v>0</v>
      </c>
      <c r="H354" s="280">
        <v>0</v>
      </c>
      <c r="I354" s="280">
        <v>6</v>
      </c>
      <c r="J354" s="280">
        <v>0</v>
      </c>
      <c r="K354" s="280">
        <v>6</v>
      </c>
      <c r="L354" s="280">
        <v>6</v>
      </c>
      <c r="M354" s="281">
        <v>6</v>
      </c>
    </row>
    <row r="355" spans="1:13" ht="14.25">
      <c r="A355" s="274">
        <v>11210</v>
      </c>
      <c r="B355" s="275" t="s">
        <v>221</v>
      </c>
      <c r="C355" s="275" t="s">
        <v>908</v>
      </c>
      <c r="D355" s="275" t="s">
        <v>909</v>
      </c>
      <c r="E355" s="276">
        <v>1</v>
      </c>
      <c r="F355" s="276" t="s">
        <v>116</v>
      </c>
      <c r="G355" s="276">
        <v>0</v>
      </c>
      <c r="H355" s="276">
        <v>0</v>
      </c>
      <c r="I355" s="276">
        <v>4</v>
      </c>
      <c r="J355" s="276">
        <v>0</v>
      </c>
      <c r="K355" s="276">
        <v>4</v>
      </c>
      <c r="L355" s="276">
        <v>4</v>
      </c>
      <c r="M355" s="277">
        <v>4</v>
      </c>
    </row>
    <row r="356" spans="1:13" ht="14.25">
      <c r="A356" s="278">
        <v>11210</v>
      </c>
      <c r="B356" s="279" t="s">
        <v>221</v>
      </c>
      <c r="C356" s="279" t="s">
        <v>910</v>
      </c>
      <c r="D356" s="279" t="s">
        <v>911</v>
      </c>
      <c r="E356" s="280">
        <v>1</v>
      </c>
      <c r="F356" s="280" t="s">
        <v>116</v>
      </c>
      <c r="G356" s="280">
        <v>0</v>
      </c>
      <c r="H356" s="280">
        <v>1</v>
      </c>
      <c r="I356" s="280">
        <v>7</v>
      </c>
      <c r="J356" s="280">
        <v>0</v>
      </c>
      <c r="K356" s="280">
        <v>8</v>
      </c>
      <c r="L356" s="280">
        <v>7</v>
      </c>
      <c r="M356" s="281">
        <v>7</v>
      </c>
    </row>
    <row r="357" spans="1:13" ht="14.25">
      <c r="A357" s="274">
        <v>11210</v>
      </c>
      <c r="B357" s="275" t="s">
        <v>221</v>
      </c>
      <c r="C357" s="275" t="s">
        <v>912</v>
      </c>
      <c r="D357" s="275" t="s">
        <v>858</v>
      </c>
      <c r="E357" s="276">
        <v>1</v>
      </c>
      <c r="F357" s="276" t="s">
        <v>116</v>
      </c>
      <c r="G357" s="276">
        <v>0</v>
      </c>
      <c r="H357" s="276">
        <v>4</v>
      </c>
      <c r="I357" s="276">
        <v>3</v>
      </c>
      <c r="J357" s="276">
        <v>0</v>
      </c>
      <c r="K357" s="276">
        <v>7</v>
      </c>
      <c r="L357" s="276">
        <v>3</v>
      </c>
      <c r="M357" s="277">
        <v>3</v>
      </c>
    </row>
    <row r="358" spans="1:13" ht="14.25">
      <c r="A358" s="278">
        <v>11210</v>
      </c>
      <c r="B358" s="279" t="s">
        <v>221</v>
      </c>
      <c r="C358" s="279" t="s">
        <v>913</v>
      </c>
      <c r="D358" s="279" t="s">
        <v>914</v>
      </c>
      <c r="E358" s="280">
        <v>1.2</v>
      </c>
      <c r="F358" s="280" t="s">
        <v>116</v>
      </c>
      <c r="G358" s="280">
        <v>0</v>
      </c>
      <c r="H358" s="280">
        <v>0</v>
      </c>
      <c r="I358" s="280">
        <v>8</v>
      </c>
      <c r="J358" s="280">
        <v>0</v>
      </c>
      <c r="K358" s="280">
        <v>8</v>
      </c>
      <c r="L358" s="280">
        <v>8</v>
      </c>
      <c r="M358" s="281">
        <v>9.6</v>
      </c>
    </row>
    <row r="359" spans="1:13" ht="14.25">
      <c r="A359" s="274">
        <v>11210</v>
      </c>
      <c r="B359" s="275" t="s">
        <v>221</v>
      </c>
      <c r="C359" s="275" t="s">
        <v>915</v>
      </c>
      <c r="D359" s="275" t="s">
        <v>916</v>
      </c>
      <c r="E359" s="276">
        <v>1</v>
      </c>
      <c r="F359" s="276" t="s">
        <v>116</v>
      </c>
      <c r="G359" s="276">
        <v>0</v>
      </c>
      <c r="H359" s="276">
        <v>0</v>
      </c>
      <c r="I359" s="276">
        <v>2</v>
      </c>
      <c r="J359" s="276">
        <v>1</v>
      </c>
      <c r="K359" s="276">
        <v>3</v>
      </c>
      <c r="L359" s="276">
        <v>2.5</v>
      </c>
      <c r="M359" s="277">
        <v>2.5</v>
      </c>
    </row>
    <row r="360" spans="1:13" ht="14.25">
      <c r="A360" s="278">
        <v>11210</v>
      </c>
      <c r="B360" s="279" t="s">
        <v>221</v>
      </c>
      <c r="C360" s="279" t="s">
        <v>917</v>
      </c>
      <c r="D360" s="279" t="s">
        <v>918</v>
      </c>
      <c r="E360" s="280">
        <v>1</v>
      </c>
      <c r="F360" s="280" t="s">
        <v>116</v>
      </c>
      <c r="G360" s="280">
        <v>0</v>
      </c>
      <c r="H360" s="280">
        <v>2</v>
      </c>
      <c r="I360" s="280">
        <v>13</v>
      </c>
      <c r="J360" s="280">
        <v>0</v>
      </c>
      <c r="K360" s="280">
        <v>15</v>
      </c>
      <c r="L360" s="280">
        <v>13</v>
      </c>
      <c r="M360" s="281">
        <v>13</v>
      </c>
    </row>
    <row r="361" spans="1:13" ht="14.25">
      <c r="A361" s="274">
        <v>11210</v>
      </c>
      <c r="B361" s="275" t="s">
        <v>221</v>
      </c>
      <c r="C361" s="275" t="s">
        <v>919</v>
      </c>
      <c r="D361" s="275" t="s">
        <v>224</v>
      </c>
      <c r="E361" s="276">
        <v>1</v>
      </c>
      <c r="F361" s="276" t="s">
        <v>116</v>
      </c>
      <c r="G361" s="276">
        <v>0</v>
      </c>
      <c r="H361" s="276">
        <v>0</v>
      </c>
      <c r="I361" s="276">
        <v>3</v>
      </c>
      <c r="J361" s="276">
        <v>0</v>
      </c>
      <c r="K361" s="276">
        <v>3</v>
      </c>
      <c r="L361" s="276">
        <v>3</v>
      </c>
      <c r="M361" s="277">
        <v>3</v>
      </c>
    </row>
    <row r="362" spans="1:13" ht="14.25">
      <c r="A362" s="278">
        <v>11210</v>
      </c>
      <c r="B362" s="279" t="s">
        <v>221</v>
      </c>
      <c r="C362" s="279" t="s">
        <v>920</v>
      </c>
      <c r="D362" s="279" t="s">
        <v>867</v>
      </c>
      <c r="E362" s="280">
        <v>1.2</v>
      </c>
      <c r="F362" s="280" t="s">
        <v>116</v>
      </c>
      <c r="G362" s="280">
        <v>0</v>
      </c>
      <c r="H362" s="280">
        <v>1</v>
      </c>
      <c r="I362" s="280">
        <v>5</v>
      </c>
      <c r="J362" s="280">
        <v>0</v>
      </c>
      <c r="K362" s="280">
        <v>6</v>
      </c>
      <c r="L362" s="280">
        <v>5</v>
      </c>
      <c r="M362" s="281">
        <v>6</v>
      </c>
    </row>
    <row r="363" spans="1:13" ht="14.25">
      <c r="A363" s="274">
        <v>11210</v>
      </c>
      <c r="B363" s="275" t="s">
        <v>221</v>
      </c>
      <c r="C363" s="275" t="s">
        <v>921</v>
      </c>
      <c r="D363" s="275" t="s">
        <v>871</v>
      </c>
      <c r="E363" s="276">
        <v>1.2</v>
      </c>
      <c r="F363" s="276" t="s">
        <v>116</v>
      </c>
      <c r="G363" s="276">
        <v>0</v>
      </c>
      <c r="H363" s="276">
        <v>0</v>
      </c>
      <c r="I363" s="276">
        <v>6</v>
      </c>
      <c r="J363" s="276">
        <v>0</v>
      </c>
      <c r="K363" s="276">
        <v>6</v>
      </c>
      <c r="L363" s="276">
        <v>6</v>
      </c>
      <c r="M363" s="277">
        <v>7.2</v>
      </c>
    </row>
    <row r="364" spans="1:13" ht="14.25">
      <c r="A364" s="278">
        <v>11210</v>
      </c>
      <c r="B364" s="279" t="s">
        <v>221</v>
      </c>
      <c r="C364" s="279" t="s">
        <v>922</v>
      </c>
      <c r="D364" s="279" t="s">
        <v>923</v>
      </c>
      <c r="E364" s="280">
        <v>1.2</v>
      </c>
      <c r="F364" s="280" t="s">
        <v>116</v>
      </c>
      <c r="G364" s="280">
        <v>0</v>
      </c>
      <c r="H364" s="280">
        <v>0</v>
      </c>
      <c r="I364" s="280">
        <v>4</v>
      </c>
      <c r="J364" s="280">
        <v>0</v>
      </c>
      <c r="K364" s="280">
        <v>4</v>
      </c>
      <c r="L364" s="280">
        <v>4</v>
      </c>
      <c r="M364" s="281">
        <v>4.8</v>
      </c>
    </row>
    <row r="365" spans="1:13" ht="14.25">
      <c r="A365" s="274">
        <v>11210</v>
      </c>
      <c r="B365" s="275" t="s">
        <v>221</v>
      </c>
      <c r="C365" s="275" t="s">
        <v>924</v>
      </c>
      <c r="D365" s="275" t="s">
        <v>879</v>
      </c>
      <c r="E365" s="276">
        <v>1.2</v>
      </c>
      <c r="F365" s="276" t="s">
        <v>116</v>
      </c>
      <c r="G365" s="276">
        <v>0</v>
      </c>
      <c r="H365" s="276">
        <v>0</v>
      </c>
      <c r="I365" s="276">
        <v>5</v>
      </c>
      <c r="J365" s="276">
        <v>0</v>
      </c>
      <c r="K365" s="276">
        <v>5</v>
      </c>
      <c r="L365" s="276">
        <v>5</v>
      </c>
      <c r="M365" s="277">
        <v>6</v>
      </c>
    </row>
    <row r="366" spans="1:13" ht="14.25">
      <c r="A366" s="278">
        <v>11210</v>
      </c>
      <c r="B366" s="279" t="s">
        <v>221</v>
      </c>
      <c r="C366" s="279" t="s">
        <v>925</v>
      </c>
      <c r="D366" s="279" t="s">
        <v>881</v>
      </c>
      <c r="E366" s="280">
        <v>1.2</v>
      </c>
      <c r="F366" s="280" t="s">
        <v>116</v>
      </c>
      <c r="G366" s="280">
        <v>0</v>
      </c>
      <c r="H366" s="280">
        <v>0</v>
      </c>
      <c r="I366" s="280">
        <v>1</v>
      </c>
      <c r="J366" s="280">
        <v>0</v>
      </c>
      <c r="K366" s="280">
        <v>1</v>
      </c>
      <c r="L366" s="280">
        <v>1</v>
      </c>
      <c r="M366" s="281">
        <v>1.2</v>
      </c>
    </row>
    <row r="367" spans="1:13" ht="14.25">
      <c r="A367" s="274">
        <v>11210</v>
      </c>
      <c r="B367" s="275" t="s">
        <v>221</v>
      </c>
      <c r="C367" s="275" t="s">
        <v>926</v>
      </c>
      <c r="D367" s="275" t="s">
        <v>869</v>
      </c>
      <c r="E367" s="276">
        <v>1.2</v>
      </c>
      <c r="F367" s="276" t="s">
        <v>116</v>
      </c>
      <c r="G367" s="276">
        <v>0</v>
      </c>
      <c r="H367" s="276">
        <v>0</v>
      </c>
      <c r="I367" s="276">
        <v>8</v>
      </c>
      <c r="J367" s="276">
        <v>0</v>
      </c>
      <c r="K367" s="276">
        <v>8</v>
      </c>
      <c r="L367" s="276">
        <v>8</v>
      </c>
      <c r="M367" s="277">
        <v>9.6</v>
      </c>
    </row>
    <row r="368" spans="1:13" ht="14.25">
      <c r="A368" s="278">
        <v>11210</v>
      </c>
      <c r="B368" s="279" t="s">
        <v>221</v>
      </c>
      <c r="C368" s="279" t="s">
        <v>927</v>
      </c>
      <c r="D368" s="279" t="s">
        <v>20</v>
      </c>
      <c r="E368" s="280">
        <v>1</v>
      </c>
      <c r="F368" s="280" t="s">
        <v>116</v>
      </c>
      <c r="G368" s="280">
        <v>0</v>
      </c>
      <c r="H368" s="280">
        <v>0</v>
      </c>
      <c r="I368" s="280">
        <v>56</v>
      </c>
      <c r="J368" s="280">
        <v>0</v>
      </c>
      <c r="K368" s="280">
        <v>56</v>
      </c>
      <c r="L368" s="280">
        <v>56</v>
      </c>
      <c r="M368" s="281">
        <v>56</v>
      </c>
    </row>
    <row r="369" spans="1:13" ht="14.25">
      <c r="A369" s="274">
        <v>11210</v>
      </c>
      <c r="B369" s="275" t="s">
        <v>221</v>
      </c>
      <c r="C369" s="275" t="s">
        <v>928</v>
      </c>
      <c r="D369" s="275" t="s">
        <v>54</v>
      </c>
      <c r="E369" s="276">
        <v>1</v>
      </c>
      <c r="F369" s="276" t="s">
        <v>116</v>
      </c>
      <c r="G369" s="276">
        <v>0</v>
      </c>
      <c r="H369" s="276">
        <v>0</v>
      </c>
      <c r="I369" s="276">
        <v>16</v>
      </c>
      <c r="J369" s="276">
        <v>0</v>
      </c>
      <c r="K369" s="276">
        <v>16</v>
      </c>
      <c r="L369" s="276">
        <v>16</v>
      </c>
      <c r="M369" s="277">
        <v>16</v>
      </c>
    </row>
    <row r="370" spans="1:13" ht="14.25">
      <c r="A370" s="278">
        <v>11210</v>
      </c>
      <c r="B370" s="279" t="s">
        <v>221</v>
      </c>
      <c r="C370" s="279" t="s">
        <v>929</v>
      </c>
      <c r="D370" s="279" t="s">
        <v>890</v>
      </c>
      <c r="E370" s="280">
        <v>1</v>
      </c>
      <c r="F370" s="280" t="s">
        <v>116</v>
      </c>
      <c r="G370" s="280">
        <v>0</v>
      </c>
      <c r="H370" s="280">
        <v>0</v>
      </c>
      <c r="I370" s="280">
        <v>9</v>
      </c>
      <c r="J370" s="280">
        <v>0</v>
      </c>
      <c r="K370" s="280">
        <v>9</v>
      </c>
      <c r="L370" s="280">
        <v>9</v>
      </c>
      <c r="M370" s="281">
        <v>9</v>
      </c>
    </row>
    <row r="371" spans="1:13" ht="14.25">
      <c r="A371" s="274">
        <v>11210</v>
      </c>
      <c r="B371" s="275" t="s">
        <v>221</v>
      </c>
      <c r="C371" s="275" t="s">
        <v>930</v>
      </c>
      <c r="D371" s="275" t="s">
        <v>931</v>
      </c>
      <c r="E371" s="276">
        <v>1</v>
      </c>
      <c r="F371" s="276" t="s">
        <v>116</v>
      </c>
      <c r="G371" s="276">
        <v>0</v>
      </c>
      <c r="H371" s="276">
        <v>1</v>
      </c>
      <c r="I371" s="276">
        <v>14</v>
      </c>
      <c r="J371" s="276">
        <v>0</v>
      </c>
      <c r="K371" s="276">
        <v>15</v>
      </c>
      <c r="L371" s="276">
        <v>14</v>
      </c>
      <c r="M371" s="277">
        <v>14</v>
      </c>
    </row>
    <row r="372" spans="1:13" ht="14.25">
      <c r="A372" s="278">
        <v>11210</v>
      </c>
      <c r="B372" s="279" t="s">
        <v>221</v>
      </c>
      <c r="C372" s="279" t="s">
        <v>932</v>
      </c>
      <c r="D372" s="279" t="s">
        <v>892</v>
      </c>
      <c r="E372" s="280">
        <v>1</v>
      </c>
      <c r="F372" s="280" t="s">
        <v>116</v>
      </c>
      <c r="G372" s="280">
        <v>0</v>
      </c>
      <c r="H372" s="280">
        <v>0</v>
      </c>
      <c r="I372" s="280">
        <v>5</v>
      </c>
      <c r="J372" s="280">
        <v>0</v>
      </c>
      <c r="K372" s="280">
        <v>5</v>
      </c>
      <c r="L372" s="280">
        <v>5</v>
      </c>
      <c r="M372" s="281">
        <v>5</v>
      </c>
    </row>
    <row r="373" spans="1:13" ht="14.25">
      <c r="A373" s="274">
        <v>11210</v>
      </c>
      <c r="B373" s="275" t="s">
        <v>221</v>
      </c>
      <c r="C373" s="275" t="s">
        <v>933</v>
      </c>
      <c r="D373" s="275" t="s">
        <v>934</v>
      </c>
      <c r="E373" s="276">
        <v>1.2</v>
      </c>
      <c r="F373" s="276" t="s">
        <v>116</v>
      </c>
      <c r="G373" s="276">
        <v>0</v>
      </c>
      <c r="H373" s="276">
        <v>0</v>
      </c>
      <c r="I373" s="276">
        <v>18</v>
      </c>
      <c r="J373" s="276">
        <v>0</v>
      </c>
      <c r="K373" s="276">
        <v>18</v>
      </c>
      <c r="L373" s="276">
        <v>18</v>
      </c>
      <c r="M373" s="277">
        <v>21.6</v>
      </c>
    </row>
    <row r="374" spans="1:13" ht="14.25">
      <c r="A374" s="278">
        <v>11210</v>
      </c>
      <c r="B374" s="279" t="s">
        <v>221</v>
      </c>
      <c r="C374" s="279" t="s">
        <v>935</v>
      </c>
      <c r="D374" s="279" t="s">
        <v>894</v>
      </c>
      <c r="E374" s="280">
        <v>1</v>
      </c>
      <c r="F374" s="280" t="s">
        <v>116</v>
      </c>
      <c r="G374" s="280">
        <v>0</v>
      </c>
      <c r="H374" s="280">
        <v>0</v>
      </c>
      <c r="I374" s="280">
        <v>8</v>
      </c>
      <c r="J374" s="280">
        <v>0</v>
      </c>
      <c r="K374" s="280">
        <v>8</v>
      </c>
      <c r="L374" s="280">
        <v>8</v>
      </c>
      <c r="M374" s="281">
        <v>8</v>
      </c>
    </row>
    <row r="375" spans="1:13" ht="14.25">
      <c r="A375" s="274">
        <v>11210</v>
      </c>
      <c r="B375" s="275" t="s">
        <v>221</v>
      </c>
      <c r="C375" s="275" t="s">
        <v>936</v>
      </c>
      <c r="D375" s="275" t="s">
        <v>279</v>
      </c>
      <c r="E375" s="276">
        <v>1</v>
      </c>
      <c r="F375" s="276" t="s">
        <v>116</v>
      </c>
      <c r="G375" s="276">
        <v>0</v>
      </c>
      <c r="H375" s="276">
        <v>1</v>
      </c>
      <c r="I375" s="276">
        <v>25</v>
      </c>
      <c r="J375" s="276">
        <v>0</v>
      </c>
      <c r="K375" s="276">
        <v>26</v>
      </c>
      <c r="L375" s="276">
        <v>25</v>
      </c>
      <c r="M375" s="277">
        <v>25</v>
      </c>
    </row>
    <row r="376" spans="1:13" ht="14.25">
      <c r="A376" s="278">
        <v>11210</v>
      </c>
      <c r="B376" s="279" t="s">
        <v>221</v>
      </c>
      <c r="C376" s="279" t="s">
        <v>61</v>
      </c>
      <c r="D376" s="279" t="s">
        <v>62</v>
      </c>
      <c r="E376" s="280">
        <v>1</v>
      </c>
      <c r="F376" s="280" t="s">
        <v>116</v>
      </c>
      <c r="G376" s="280">
        <v>0</v>
      </c>
      <c r="H376" s="280">
        <v>0</v>
      </c>
      <c r="I376" s="280">
        <v>8</v>
      </c>
      <c r="J376" s="280">
        <v>0</v>
      </c>
      <c r="K376" s="280">
        <v>8</v>
      </c>
      <c r="L376" s="280">
        <v>8</v>
      </c>
      <c r="M376" s="281">
        <v>8</v>
      </c>
    </row>
    <row r="377" spans="1:13" ht="14.25">
      <c r="A377" s="274">
        <v>11210</v>
      </c>
      <c r="B377" s="275" t="s">
        <v>221</v>
      </c>
      <c r="C377" s="275" t="s">
        <v>61</v>
      </c>
      <c r="D377" s="275" t="s">
        <v>62</v>
      </c>
      <c r="E377" s="276">
        <v>1</v>
      </c>
      <c r="F377" s="276" t="s">
        <v>114</v>
      </c>
      <c r="G377" s="276">
        <v>0</v>
      </c>
      <c r="H377" s="276">
        <v>3</v>
      </c>
      <c r="I377" s="276">
        <v>19</v>
      </c>
      <c r="J377" s="276">
        <v>0</v>
      </c>
      <c r="K377" s="276">
        <v>22</v>
      </c>
      <c r="L377" s="276">
        <v>19</v>
      </c>
      <c r="M377" s="277">
        <v>19</v>
      </c>
    </row>
    <row r="378" spans="1:13" ht="14.25">
      <c r="A378" s="278">
        <v>11210</v>
      </c>
      <c r="B378" s="279" t="s">
        <v>221</v>
      </c>
      <c r="C378" s="279" t="s">
        <v>246</v>
      </c>
      <c r="D378" s="279" t="s">
        <v>224</v>
      </c>
      <c r="E378" s="280">
        <v>1</v>
      </c>
      <c r="F378" s="280" t="s">
        <v>114</v>
      </c>
      <c r="G378" s="280">
        <v>0</v>
      </c>
      <c r="H378" s="280">
        <v>1</v>
      </c>
      <c r="I378" s="280">
        <v>0</v>
      </c>
      <c r="J378" s="280">
        <v>0</v>
      </c>
      <c r="K378" s="280">
        <v>1</v>
      </c>
      <c r="L378" s="280">
        <v>0</v>
      </c>
      <c r="M378" s="281">
        <v>0</v>
      </c>
    </row>
    <row r="379" spans="1:13" ht="14.25">
      <c r="A379" s="274">
        <v>11210</v>
      </c>
      <c r="B379" s="275" t="s">
        <v>221</v>
      </c>
      <c r="C379" s="275" t="s">
        <v>247</v>
      </c>
      <c r="D379" s="275" t="s">
        <v>226</v>
      </c>
      <c r="E379" s="276">
        <v>1</v>
      </c>
      <c r="F379" s="276" t="s">
        <v>116</v>
      </c>
      <c r="G379" s="276">
        <v>0</v>
      </c>
      <c r="H379" s="276">
        <v>0</v>
      </c>
      <c r="I379" s="276">
        <v>16</v>
      </c>
      <c r="J379" s="276">
        <v>0</v>
      </c>
      <c r="K379" s="276">
        <v>16</v>
      </c>
      <c r="L379" s="276">
        <v>16</v>
      </c>
      <c r="M379" s="277">
        <v>16</v>
      </c>
    </row>
    <row r="380" spans="1:13" ht="14.25">
      <c r="A380" s="278">
        <v>11210</v>
      </c>
      <c r="B380" s="279" t="s">
        <v>221</v>
      </c>
      <c r="C380" s="279" t="s">
        <v>247</v>
      </c>
      <c r="D380" s="279" t="s">
        <v>226</v>
      </c>
      <c r="E380" s="280">
        <v>1</v>
      </c>
      <c r="F380" s="280" t="s">
        <v>114</v>
      </c>
      <c r="G380" s="280">
        <v>0</v>
      </c>
      <c r="H380" s="280">
        <v>11</v>
      </c>
      <c r="I380" s="280">
        <v>32</v>
      </c>
      <c r="J380" s="280">
        <v>0</v>
      </c>
      <c r="K380" s="280">
        <v>43</v>
      </c>
      <c r="L380" s="280">
        <v>32</v>
      </c>
      <c r="M380" s="281">
        <v>32</v>
      </c>
    </row>
    <row r="381" spans="1:13" ht="14.25">
      <c r="A381" s="274">
        <v>11210</v>
      </c>
      <c r="B381" s="275" t="s">
        <v>221</v>
      </c>
      <c r="C381" s="275" t="s">
        <v>49</v>
      </c>
      <c r="D381" s="275" t="s">
        <v>50</v>
      </c>
      <c r="E381" s="276">
        <v>1</v>
      </c>
      <c r="F381" s="276" t="s">
        <v>116</v>
      </c>
      <c r="G381" s="276">
        <v>0</v>
      </c>
      <c r="H381" s="276">
        <v>0</v>
      </c>
      <c r="I381" s="276">
        <v>13</v>
      </c>
      <c r="J381" s="276">
        <v>0</v>
      </c>
      <c r="K381" s="276">
        <v>13</v>
      </c>
      <c r="L381" s="276">
        <v>13</v>
      </c>
      <c r="M381" s="277">
        <v>13</v>
      </c>
    </row>
    <row r="382" spans="1:13" ht="14.25">
      <c r="A382" s="278">
        <v>11210</v>
      </c>
      <c r="B382" s="279" t="s">
        <v>221</v>
      </c>
      <c r="C382" s="279" t="s">
        <v>49</v>
      </c>
      <c r="D382" s="279" t="s">
        <v>50</v>
      </c>
      <c r="E382" s="280">
        <v>1</v>
      </c>
      <c r="F382" s="280" t="s">
        <v>114</v>
      </c>
      <c r="G382" s="280">
        <v>0</v>
      </c>
      <c r="H382" s="280">
        <v>3</v>
      </c>
      <c r="I382" s="280">
        <v>17</v>
      </c>
      <c r="J382" s="280">
        <v>1</v>
      </c>
      <c r="K382" s="280">
        <v>21</v>
      </c>
      <c r="L382" s="280">
        <v>17.5</v>
      </c>
      <c r="M382" s="281">
        <v>17.5</v>
      </c>
    </row>
    <row r="383" spans="1:13" ht="14.25">
      <c r="A383" s="274">
        <v>11210</v>
      </c>
      <c r="B383" s="275" t="s">
        <v>221</v>
      </c>
      <c r="C383" s="275" t="s">
        <v>53</v>
      </c>
      <c r="D383" s="275" t="s">
        <v>54</v>
      </c>
      <c r="E383" s="276">
        <v>1</v>
      </c>
      <c r="F383" s="276" t="s">
        <v>114</v>
      </c>
      <c r="G383" s="276">
        <v>0</v>
      </c>
      <c r="H383" s="276">
        <v>2</v>
      </c>
      <c r="I383" s="276">
        <v>13</v>
      </c>
      <c r="J383" s="276">
        <v>1</v>
      </c>
      <c r="K383" s="276">
        <v>16</v>
      </c>
      <c r="L383" s="276">
        <v>13.5</v>
      </c>
      <c r="M383" s="277">
        <v>13.5</v>
      </c>
    </row>
    <row r="384" spans="1:13" ht="14.25">
      <c r="A384" s="278">
        <v>11210</v>
      </c>
      <c r="B384" s="279" t="s">
        <v>221</v>
      </c>
      <c r="C384" s="279" t="s">
        <v>248</v>
      </c>
      <c r="D384" s="279" t="s">
        <v>230</v>
      </c>
      <c r="E384" s="280">
        <v>1</v>
      </c>
      <c r="F384" s="280" t="s">
        <v>114</v>
      </c>
      <c r="G384" s="280">
        <v>0</v>
      </c>
      <c r="H384" s="280">
        <v>7</v>
      </c>
      <c r="I384" s="280">
        <v>43</v>
      </c>
      <c r="J384" s="280">
        <v>2</v>
      </c>
      <c r="K384" s="280">
        <v>52</v>
      </c>
      <c r="L384" s="280">
        <v>44</v>
      </c>
      <c r="M384" s="281">
        <v>44</v>
      </c>
    </row>
    <row r="385" spans="1:13" ht="14.25">
      <c r="A385" s="274">
        <v>11210</v>
      </c>
      <c r="B385" s="275" t="s">
        <v>221</v>
      </c>
      <c r="C385" s="275" t="s">
        <v>38</v>
      </c>
      <c r="D385" s="275" t="s">
        <v>39</v>
      </c>
      <c r="E385" s="276">
        <v>1</v>
      </c>
      <c r="F385" s="276" t="s">
        <v>116</v>
      </c>
      <c r="G385" s="276">
        <v>0</v>
      </c>
      <c r="H385" s="276">
        <v>1</v>
      </c>
      <c r="I385" s="276">
        <v>20</v>
      </c>
      <c r="J385" s="276">
        <v>0</v>
      </c>
      <c r="K385" s="276">
        <v>21</v>
      </c>
      <c r="L385" s="276">
        <v>20</v>
      </c>
      <c r="M385" s="277">
        <v>20</v>
      </c>
    </row>
    <row r="386" spans="1:13" ht="14.25">
      <c r="A386" s="278">
        <v>11210</v>
      </c>
      <c r="B386" s="279" t="s">
        <v>221</v>
      </c>
      <c r="C386" s="279" t="s">
        <v>38</v>
      </c>
      <c r="D386" s="279" t="s">
        <v>39</v>
      </c>
      <c r="E386" s="280">
        <v>1</v>
      </c>
      <c r="F386" s="280" t="s">
        <v>114</v>
      </c>
      <c r="G386" s="280">
        <v>0</v>
      </c>
      <c r="H386" s="280">
        <v>32</v>
      </c>
      <c r="I386" s="280">
        <v>133</v>
      </c>
      <c r="J386" s="280">
        <v>3</v>
      </c>
      <c r="K386" s="280">
        <v>168</v>
      </c>
      <c r="L386" s="280">
        <v>134.5</v>
      </c>
      <c r="M386" s="281">
        <v>134.5</v>
      </c>
    </row>
    <row r="387" spans="1:13" ht="14.25">
      <c r="A387" s="274">
        <v>11210</v>
      </c>
      <c r="B387" s="275" t="s">
        <v>221</v>
      </c>
      <c r="C387" s="275" t="s">
        <v>249</v>
      </c>
      <c r="D387" s="275" t="s">
        <v>233</v>
      </c>
      <c r="E387" s="276">
        <v>1</v>
      </c>
      <c r="F387" s="276" t="s">
        <v>116</v>
      </c>
      <c r="G387" s="276">
        <v>0</v>
      </c>
      <c r="H387" s="276">
        <v>0</v>
      </c>
      <c r="I387" s="276">
        <v>1</v>
      </c>
      <c r="J387" s="276">
        <v>0</v>
      </c>
      <c r="K387" s="276">
        <v>1</v>
      </c>
      <c r="L387" s="276">
        <v>1</v>
      </c>
      <c r="M387" s="277">
        <v>1</v>
      </c>
    </row>
    <row r="388" spans="1:13" ht="14.25">
      <c r="A388" s="278">
        <v>11210</v>
      </c>
      <c r="B388" s="279" t="s">
        <v>221</v>
      </c>
      <c r="C388" s="279" t="s">
        <v>249</v>
      </c>
      <c r="D388" s="279" t="s">
        <v>233</v>
      </c>
      <c r="E388" s="280">
        <v>1</v>
      </c>
      <c r="F388" s="280" t="s">
        <v>114</v>
      </c>
      <c r="G388" s="280">
        <v>0</v>
      </c>
      <c r="H388" s="280">
        <v>18</v>
      </c>
      <c r="I388" s="280">
        <v>69</v>
      </c>
      <c r="J388" s="280">
        <v>3</v>
      </c>
      <c r="K388" s="280">
        <v>90</v>
      </c>
      <c r="L388" s="280">
        <v>70.5</v>
      </c>
      <c r="M388" s="281">
        <v>70.5</v>
      </c>
    </row>
    <row r="389" spans="1:13" ht="14.25">
      <c r="A389" s="274">
        <v>11210</v>
      </c>
      <c r="B389" s="275" t="s">
        <v>221</v>
      </c>
      <c r="C389" s="275" t="s">
        <v>40</v>
      </c>
      <c r="D389" s="275" t="s">
        <v>41</v>
      </c>
      <c r="E389" s="276">
        <v>1.2</v>
      </c>
      <c r="F389" s="276" t="s">
        <v>116</v>
      </c>
      <c r="G389" s="276">
        <v>0</v>
      </c>
      <c r="H389" s="276">
        <v>0</v>
      </c>
      <c r="I389" s="276">
        <v>105</v>
      </c>
      <c r="J389" s="276">
        <v>0</v>
      </c>
      <c r="K389" s="276">
        <v>105</v>
      </c>
      <c r="L389" s="276">
        <v>105</v>
      </c>
      <c r="M389" s="277">
        <v>126</v>
      </c>
    </row>
    <row r="390" spans="1:13" ht="14.25">
      <c r="A390" s="278">
        <v>11210</v>
      </c>
      <c r="B390" s="279" t="s">
        <v>221</v>
      </c>
      <c r="C390" s="279" t="s">
        <v>40</v>
      </c>
      <c r="D390" s="279" t="s">
        <v>41</v>
      </c>
      <c r="E390" s="280">
        <v>1.2</v>
      </c>
      <c r="F390" s="280" t="s">
        <v>114</v>
      </c>
      <c r="G390" s="280">
        <v>0</v>
      </c>
      <c r="H390" s="280">
        <v>50</v>
      </c>
      <c r="I390" s="280">
        <v>247</v>
      </c>
      <c r="J390" s="280">
        <v>3</v>
      </c>
      <c r="K390" s="280">
        <v>300</v>
      </c>
      <c r="L390" s="280">
        <v>248.5</v>
      </c>
      <c r="M390" s="281">
        <v>298.2</v>
      </c>
    </row>
    <row r="391" spans="1:13" ht="14.25">
      <c r="A391" s="274">
        <v>11210</v>
      </c>
      <c r="B391" s="275" t="s">
        <v>221</v>
      </c>
      <c r="C391" s="275" t="s">
        <v>250</v>
      </c>
      <c r="D391" s="275" t="s">
        <v>238</v>
      </c>
      <c r="E391" s="276">
        <v>1.2</v>
      </c>
      <c r="F391" s="276" t="s">
        <v>116</v>
      </c>
      <c r="G391" s="276">
        <v>0</v>
      </c>
      <c r="H391" s="276">
        <v>1</v>
      </c>
      <c r="I391" s="276">
        <v>0</v>
      </c>
      <c r="J391" s="276">
        <v>0</v>
      </c>
      <c r="K391" s="276">
        <v>1</v>
      </c>
      <c r="L391" s="276">
        <v>0</v>
      </c>
      <c r="M391" s="277">
        <v>0</v>
      </c>
    </row>
    <row r="392" spans="1:13" ht="14.25">
      <c r="A392" s="278">
        <v>11210</v>
      </c>
      <c r="B392" s="279" t="s">
        <v>221</v>
      </c>
      <c r="C392" s="279" t="s">
        <v>250</v>
      </c>
      <c r="D392" s="279" t="s">
        <v>238</v>
      </c>
      <c r="E392" s="280">
        <v>1.2</v>
      </c>
      <c r="F392" s="280" t="s">
        <v>114</v>
      </c>
      <c r="G392" s="280">
        <v>0</v>
      </c>
      <c r="H392" s="280">
        <v>0</v>
      </c>
      <c r="I392" s="280">
        <v>3</v>
      </c>
      <c r="J392" s="280">
        <v>0</v>
      </c>
      <c r="K392" s="280">
        <v>3</v>
      </c>
      <c r="L392" s="280">
        <v>3</v>
      </c>
      <c r="M392" s="281">
        <v>3.6</v>
      </c>
    </row>
    <row r="393" spans="1:13" ht="14.25">
      <c r="A393" s="274">
        <v>11210</v>
      </c>
      <c r="B393" s="275" t="s">
        <v>221</v>
      </c>
      <c r="C393" s="275" t="s">
        <v>251</v>
      </c>
      <c r="D393" s="275" t="s">
        <v>240</v>
      </c>
      <c r="E393" s="276">
        <v>1.2</v>
      </c>
      <c r="F393" s="276" t="s">
        <v>116</v>
      </c>
      <c r="G393" s="276">
        <v>0</v>
      </c>
      <c r="H393" s="276">
        <v>1</v>
      </c>
      <c r="I393" s="276">
        <v>20</v>
      </c>
      <c r="J393" s="276">
        <v>0</v>
      </c>
      <c r="K393" s="276">
        <v>21</v>
      </c>
      <c r="L393" s="276">
        <v>20</v>
      </c>
      <c r="M393" s="277">
        <v>24</v>
      </c>
    </row>
    <row r="394" spans="1:13" ht="14.25">
      <c r="A394" s="278">
        <v>11210</v>
      </c>
      <c r="B394" s="279" t="s">
        <v>221</v>
      </c>
      <c r="C394" s="279" t="s">
        <v>251</v>
      </c>
      <c r="D394" s="279" t="s">
        <v>240</v>
      </c>
      <c r="E394" s="280">
        <v>1.2</v>
      </c>
      <c r="F394" s="280" t="s">
        <v>114</v>
      </c>
      <c r="G394" s="280">
        <v>0</v>
      </c>
      <c r="H394" s="280">
        <v>4</v>
      </c>
      <c r="I394" s="280">
        <v>31</v>
      </c>
      <c r="J394" s="280">
        <v>0</v>
      </c>
      <c r="K394" s="280">
        <v>35</v>
      </c>
      <c r="L394" s="280">
        <v>31</v>
      </c>
      <c r="M394" s="281">
        <v>37.2</v>
      </c>
    </row>
    <row r="395" spans="1:13" ht="14.25">
      <c r="A395" s="274">
        <v>11210</v>
      </c>
      <c r="B395" s="275" t="s">
        <v>221</v>
      </c>
      <c r="C395" s="275" t="s">
        <v>115</v>
      </c>
      <c r="D395" s="275" t="s">
        <v>93</v>
      </c>
      <c r="E395" s="276">
        <v>1</v>
      </c>
      <c r="F395" s="276" t="s">
        <v>116</v>
      </c>
      <c r="G395" s="276">
        <v>0</v>
      </c>
      <c r="H395" s="276">
        <v>2</v>
      </c>
      <c r="I395" s="276">
        <v>42</v>
      </c>
      <c r="J395" s="276">
        <v>0</v>
      </c>
      <c r="K395" s="276">
        <v>44</v>
      </c>
      <c r="L395" s="276">
        <v>42</v>
      </c>
      <c r="M395" s="277">
        <v>42</v>
      </c>
    </row>
    <row r="396" spans="1:13" ht="14.25">
      <c r="A396" s="278">
        <v>11210</v>
      </c>
      <c r="B396" s="279" t="s">
        <v>221</v>
      </c>
      <c r="C396" s="279" t="s">
        <v>115</v>
      </c>
      <c r="D396" s="279" t="s">
        <v>93</v>
      </c>
      <c r="E396" s="280">
        <v>1</v>
      </c>
      <c r="F396" s="280" t="s">
        <v>114</v>
      </c>
      <c r="G396" s="280">
        <v>0</v>
      </c>
      <c r="H396" s="280">
        <v>19</v>
      </c>
      <c r="I396" s="280">
        <v>80</v>
      </c>
      <c r="J396" s="280">
        <v>2</v>
      </c>
      <c r="K396" s="280">
        <v>101</v>
      </c>
      <c r="L396" s="280">
        <v>81</v>
      </c>
      <c r="M396" s="281">
        <v>81</v>
      </c>
    </row>
    <row r="397" spans="1:13" ht="14.25">
      <c r="A397" s="274">
        <v>11210</v>
      </c>
      <c r="B397" s="275" t="s">
        <v>221</v>
      </c>
      <c r="C397" s="275" t="s">
        <v>90</v>
      </c>
      <c r="D397" s="275" t="s">
        <v>91</v>
      </c>
      <c r="E397" s="276">
        <v>1.2</v>
      </c>
      <c r="F397" s="276" t="s">
        <v>116</v>
      </c>
      <c r="G397" s="276">
        <v>0</v>
      </c>
      <c r="H397" s="276">
        <v>1</v>
      </c>
      <c r="I397" s="276">
        <v>10</v>
      </c>
      <c r="J397" s="276">
        <v>0</v>
      </c>
      <c r="K397" s="276">
        <v>11</v>
      </c>
      <c r="L397" s="276">
        <v>10</v>
      </c>
      <c r="M397" s="277">
        <v>12</v>
      </c>
    </row>
    <row r="398" spans="1:13" ht="14.25">
      <c r="A398" s="278">
        <v>11210</v>
      </c>
      <c r="B398" s="279" t="s">
        <v>221</v>
      </c>
      <c r="C398" s="279" t="s">
        <v>90</v>
      </c>
      <c r="D398" s="279" t="s">
        <v>91</v>
      </c>
      <c r="E398" s="280">
        <v>1.2</v>
      </c>
      <c r="F398" s="280" t="s">
        <v>114</v>
      </c>
      <c r="G398" s="280">
        <v>0</v>
      </c>
      <c r="H398" s="280">
        <v>4</v>
      </c>
      <c r="I398" s="280">
        <v>44</v>
      </c>
      <c r="J398" s="280">
        <v>0</v>
      </c>
      <c r="K398" s="280">
        <v>48</v>
      </c>
      <c r="L398" s="280">
        <v>44</v>
      </c>
      <c r="M398" s="281">
        <v>52.8</v>
      </c>
    </row>
    <row r="399" spans="1:13" ht="14.25">
      <c r="A399" s="274">
        <v>11210</v>
      </c>
      <c r="B399" s="275" t="s">
        <v>221</v>
      </c>
      <c r="C399" s="275" t="s">
        <v>252</v>
      </c>
      <c r="D399" s="275" t="s">
        <v>20</v>
      </c>
      <c r="E399" s="276">
        <v>1</v>
      </c>
      <c r="F399" s="276" t="s">
        <v>116</v>
      </c>
      <c r="G399" s="276">
        <v>0</v>
      </c>
      <c r="H399" s="276">
        <v>0</v>
      </c>
      <c r="I399" s="276">
        <v>5</v>
      </c>
      <c r="J399" s="276">
        <v>0</v>
      </c>
      <c r="K399" s="276">
        <v>5</v>
      </c>
      <c r="L399" s="276">
        <v>5</v>
      </c>
      <c r="M399" s="277">
        <v>5</v>
      </c>
    </row>
    <row r="400" spans="1:13" ht="14.25">
      <c r="A400" s="278">
        <v>11210</v>
      </c>
      <c r="B400" s="279" t="s">
        <v>221</v>
      </c>
      <c r="C400" s="279" t="s">
        <v>252</v>
      </c>
      <c r="D400" s="279" t="s">
        <v>20</v>
      </c>
      <c r="E400" s="280">
        <v>1</v>
      </c>
      <c r="F400" s="280" t="s">
        <v>114</v>
      </c>
      <c r="G400" s="280">
        <v>0</v>
      </c>
      <c r="H400" s="280">
        <v>10</v>
      </c>
      <c r="I400" s="280">
        <v>91</v>
      </c>
      <c r="J400" s="280">
        <v>0</v>
      </c>
      <c r="K400" s="280">
        <v>101</v>
      </c>
      <c r="L400" s="280">
        <v>91</v>
      </c>
      <c r="M400" s="281">
        <v>91</v>
      </c>
    </row>
    <row r="401" spans="1:13" ht="14.25">
      <c r="A401" s="274">
        <v>11210</v>
      </c>
      <c r="B401" s="275" t="s">
        <v>221</v>
      </c>
      <c r="C401" s="275" t="s">
        <v>253</v>
      </c>
      <c r="D401" s="275" t="s">
        <v>244</v>
      </c>
      <c r="E401" s="276">
        <v>1</v>
      </c>
      <c r="F401" s="276" t="s">
        <v>116</v>
      </c>
      <c r="G401" s="276">
        <v>0</v>
      </c>
      <c r="H401" s="276">
        <v>1</v>
      </c>
      <c r="I401" s="276">
        <v>12</v>
      </c>
      <c r="J401" s="276">
        <v>0</v>
      </c>
      <c r="K401" s="276">
        <v>13</v>
      </c>
      <c r="L401" s="276">
        <v>12</v>
      </c>
      <c r="M401" s="277">
        <v>12</v>
      </c>
    </row>
    <row r="402" spans="1:13" ht="14.25">
      <c r="A402" s="278">
        <v>11210</v>
      </c>
      <c r="B402" s="279" t="s">
        <v>221</v>
      </c>
      <c r="C402" s="279" t="s">
        <v>253</v>
      </c>
      <c r="D402" s="279" t="s">
        <v>244</v>
      </c>
      <c r="E402" s="280">
        <v>1</v>
      </c>
      <c r="F402" s="280" t="s">
        <v>114</v>
      </c>
      <c r="G402" s="280">
        <v>0</v>
      </c>
      <c r="H402" s="280">
        <v>14</v>
      </c>
      <c r="I402" s="280">
        <v>37</v>
      </c>
      <c r="J402" s="280">
        <v>1</v>
      </c>
      <c r="K402" s="280">
        <v>52</v>
      </c>
      <c r="L402" s="280">
        <v>37.5</v>
      </c>
      <c r="M402" s="281">
        <v>37.5</v>
      </c>
    </row>
    <row r="403" spans="1:13" ht="14.25">
      <c r="A403" s="274">
        <v>11210</v>
      </c>
      <c r="B403" s="275" t="s">
        <v>221</v>
      </c>
      <c r="C403" s="275" t="s">
        <v>937</v>
      </c>
      <c r="D403" s="275" t="s">
        <v>93</v>
      </c>
      <c r="E403" s="276">
        <v>1.2</v>
      </c>
      <c r="F403" s="276" t="s">
        <v>119</v>
      </c>
      <c r="G403" s="276">
        <v>0</v>
      </c>
      <c r="H403" s="276">
        <v>0</v>
      </c>
      <c r="I403" s="276">
        <v>5</v>
      </c>
      <c r="J403" s="276">
        <v>0</v>
      </c>
      <c r="K403" s="276">
        <v>5</v>
      </c>
      <c r="L403" s="276">
        <v>5</v>
      </c>
      <c r="M403" s="277">
        <v>6</v>
      </c>
    </row>
    <row r="404" spans="1:13" ht="14.25">
      <c r="A404" s="278">
        <v>11210</v>
      </c>
      <c r="B404" s="279" t="s">
        <v>221</v>
      </c>
      <c r="C404" s="279" t="s">
        <v>938</v>
      </c>
      <c r="D404" s="279" t="s">
        <v>939</v>
      </c>
      <c r="E404" s="280">
        <v>1</v>
      </c>
      <c r="F404" s="280" t="s">
        <v>119</v>
      </c>
      <c r="G404" s="280">
        <v>0</v>
      </c>
      <c r="H404" s="280">
        <v>0</v>
      </c>
      <c r="I404" s="280">
        <v>1</v>
      </c>
      <c r="J404" s="280">
        <v>0</v>
      </c>
      <c r="K404" s="280">
        <v>1</v>
      </c>
      <c r="L404" s="280">
        <v>1</v>
      </c>
      <c r="M404" s="281">
        <v>1</v>
      </c>
    </row>
    <row r="405" spans="1:13" ht="14.25">
      <c r="A405" s="274">
        <v>11210</v>
      </c>
      <c r="B405" s="275" t="s">
        <v>221</v>
      </c>
      <c r="C405" s="275" t="s">
        <v>940</v>
      </c>
      <c r="D405" s="275" t="s">
        <v>941</v>
      </c>
      <c r="E405" s="276">
        <v>1</v>
      </c>
      <c r="F405" s="276" t="s">
        <v>119</v>
      </c>
      <c r="G405" s="276">
        <v>0</v>
      </c>
      <c r="H405" s="276">
        <v>2</v>
      </c>
      <c r="I405" s="276">
        <v>3</v>
      </c>
      <c r="J405" s="276">
        <v>0</v>
      </c>
      <c r="K405" s="276">
        <v>5</v>
      </c>
      <c r="L405" s="276">
        <v>3</v>
      </c>
      <c r="M405" s="277">
        <v>3</v>
      </c>
    </row>
    <row r="406" spans="1:13" ht="14.25">
      <c r="A406" s="278">
        <v>11210</v>
      </c>
      <c r="B406" s="279" t="s">
        <v>221</v>
      </c>
      <c r="C406" s="279" t="s">
        <v>942</v>
      </c>
      <c r="D406" s="279" t="s">
        <v>907</v>
      </c>
      <c r="E406" s="280">
        <v>1</v>
      </c>
      <c r="F406" s="280" t="s">
        <v>119</v>
      </c>
      <c r="G406" s="280">
        <v>0</v>
      </c>
      <c r="H406" s="280">
        <v>1</v>
      </c>
      <c r="I406" s="280">
        <v>1</v>
      </c>
      <c r="J406" s="280">
        <v>0</v>
      </c>
      <c r="K406" s="280">
        <v>2</v>
      </c>
      <c r="L406" s="280">
        <v>1</v>
      </c>
      <c r="M406" s="281">
        <v>1</v>
      </c>
    </row>
    <row r="407" spans="1:13" ht="14.25">
      <c r="A407" s="274">
        <v>11210</v>
      </c>
      <c r="B407" s="275" t="s">
        <v>221</v>
      </c>
      <c r="C407" s="275" t="s">
        <v>943</v>
      </c>
      <c r="D407" s="275" t="s">
        <v>944</v>
      </c>
      <c r="E407" s="276">
        <v>1</v>
      </c>
      <c r="F407" s="276" t="s">
        <v>119</v>
      </c>
      <c r="G407" s="276">
        <v>0</v>
      </c>
      <c r="H407" s="276">
        <v>0</v>
      </c>
      <c r="I407" s="276">
        <v>2</v>
      </c>
      <c r="J407" s="276">
        <v>0</v>
      </c>
      <c r="K407" s="276">
        <v>2</v>
      </c>
      <c r="L407" s="276">
        <v>2</v>
      </c>
      <c r="M407" s="277">
        <v>2</v>
      </c>
    </row>
    <row r="408" spans="1:13" ht="14.25">
      <c r="A408" s="278">
        <v>11210</v>
      </c>
      <c r="B408" s="279" t="s">
        <v>221</v>
      </c>
      <c r="C408" s="279" t="s">
        <v>945</v>
      </c>
      <c r="D408" s="279" t="s">
        <v>869</v>
      </c>
      <c r="E408" s="280">
        <v>1</v>
      </c>
      <c r="F408" s="280" t="s">
        <v>119</v>
      </c>
      <c r="G408" s="280">
        <v>0</v>
      </c>
      <c r="H408" s="280">
        <v>0</v>
      </c>
      <c r="I408" s="280">
        <v>3</v>
      </c>
      <c r="J408" s="280">
        <v>0</v>
      </c>
      <c r="K408" s="280">
        <v>3</v>
      </c>
      <c r="L408" s="280">
        <v>3</v>
      </c>
      <c r="M408" s="281">
        <v>3</v>
      </c>
    </row>
    <row r="409" spans="1:13" ht="14.25">
      <c r="A409" s="274">
        <v>11210</v>
      </c>
      <c r="B409" s="275" t="s">
        <v>221</v>
      </c>
      <c r="C409" s="275" t="s">
        <v>946</v>
      </c>
      <c r="D409" s="275" t="s">
        <v>858</v>
      </c>
      <c r="E409" s="276">
        <v>1</v>
      </c>
      <c r="F409" s="276" t="s">
        <v>119</v>
      </c>
      <c r="G409" s="276">
        <v>0</v>
      </c>
      <c r="H409" s="276">
        <v>2</v>
      </c>
      <c r="I409" s="276">
        <v>8</v>
      </c>
      <c r="J409" s="276">
        <v>1</v>
      </c>
      <c r="K409" s="276">
        <v>11</v>
      </c>
      <c r="L409" s="276">
        <v>8.5</v>
      </c>
      <c r="M409" s="277">
        <v>8.5</v>
      </c>
    </row>
    <row r="410" spans="1:13" ht="14.25">
      <c r="A410" s="278">
        <v>11210</v>
      </c>
      <c r="B410" s="279" t="s">
        <v>221</v>
      </c>
      <c r="C410" s="279" t="s">
        <v>947</v>
      </c>
      <c r="D410" s="279" t="s">
        <v>948</v>
      </c>
      <c r="E410" s="280">
        <v>1</v>
      </c>
      <c r="F410" s="280" t="s">
        <v>119</v>
      </c>
      <c r="G410" s="280">
        <v>0</v>
      </c>
      <c r="H410" s="280">
        <v>0</v>
      </c>
      <c r="I410" s="280">
        <v>4</v>
      </c>
      <c r="J410" s="280">
        <v>0</v>
      </c>
      <c r="K410" s="280">
        <v>4</v>
      </c>
      <c r="L410" s="280">
        <v>4</v>
      </c>
      <c r="M410" s="281">
        <v>4</v>
      </c>
    </row>
    <row r="411" spans="1:13" ht="14.25">
      <c r="A411" s="274">
        <v>11210</v>
      </c>
      <c r="B411" s="275" t="s">
        <v>221</v>
      </c>
      <c r="C411" s="275" t="s">
        <v>949</v>
      </c>
      <c r="D411" s="275" t="s">
        <v>224</v>
      </c>
      <c r="E411" s="276">
        <v>1</v>
      </c>
      <c r="F411" s="276" t="s">
        <v>119</v>
      </c>
      <c r="G411" s="276">
        <v>0</v>
      </c>
      <c r="H411" s="276">
        <v>0</v>
      </c>
      <c r="I411" s="276">
        <v>1</v>
      </c>
      <c r="J411" s="276">
        <v>0</v>
      </c>
      <c r="K411" s="276">
        <v>1</v>
      </c>
      <c r="L411" s="276">
        <v>1</v>
      </c>
      <c r="M411" s="277">
        <v>1</v>
      </c>
    </row>
    <row r="412" spans="1:13" ht="14.25">
      <c r="A412" s="278">
        <v>11210</v>
      </c>
      <c r="B412" s="279" t="s">
        <v>221</v>
      </c>
      <c r="C412" s="279" t="s">
        <v>950</v>
      </c>
      <c r="D412" s="279" t="s">
        <v>951</v>
      </c>
      <c r="E412" s="280">
        <v>1.2</v>
      </c>
      <c r="F412" s="280" t="s">
        <v>119</v>
      </c>
      <c r="G412" s="280">
        <v>0</v>
      </c>
      <c r="H412" s="280">
        <v>0</v>
      </c>
      <c r="I412" s="280">
        <v>5</v>
      </c>
      <c r="J412" s="280">
        <v>0</v>
      </c>
      <c r="K412" s="280">
        <v>5</v>
      </c>
      <c r="L412" s="280">
        <v>5</v>
      </c>
      <c r="M412" s="281">
        <v>6</v>
      </c>
    </row>
    <row r="413" spans="1:13" ht="14.25">
      <c r="A413" s="274">
        <v>11210</v>
      </c>
      <c r="B413" s="275" t="s">
        <v>221</v>
      </c>
      <c r="C413" s="275" t="s">
        <v>952</v>
      </c>
      <c r="D413" s="275" t="s">
        <v>887</v>
      </c>
      <c r="E413" s="276">
        <v>1.2</v>
      </c>
      <c r="F413" s="276" t="s">
        <v>119</v>
      </c>
      <c r="G413" s="276">
        <v>0</v>
      </c>
      <c r="H413" s="276">
        <v>0</v>
      </c>
      <c r="I413" s="276">
        <v>4</v>
      </c>
      <c r="J413" s="276">
        <v>0</v>
      </c>
      <c r="K413" s="276">
        <v>4</v>
      </c>
      <c r="L413" s="276">
        <v>4</v>
      </c>
      <c r="M413" s="277">
        <v>4.8</v>
      </c>
    </row>
    <row r="414" spans="1:13" ht="14.25">
      <c r="A414" s="278">
        <v>11210</v>
      </c>
      <c r="B414" s="279" t="s">
        <v>221</v>
      </c>
      <c r="C414" s="279" t="s">
        <v>953</v>
      </c>
      <c r="D414" s="279" t="s">
        <v>954</v>
      </c>
      <c r="E414" s="280">
        <v>1.2</v>
      </c>
      <c r="F414" s="280" t="s">
        <v>119</v>
      </c>
      <c r="G414" s="280">
        <v>0</v>
      </c>
      <c r="H414" s="280">
        <v>0</v>
      </c>
      <c r="I414" s="280">
        <v>1</v>
      </c>
      <c r="J414" s="280">
        <v>0</v>
      </c>
      <c r="K414" s="280">
        <v>1</v>
      </c>
      <c r="L414" s="280">
        <v>1</v>
      </c>
      <c r="M414" s="281">
        <v>1.2</v>
      </c>
    </row>
    <row r="415" spans="1:13" ht="14.25">
      <c r="A415" s="274">
        <v>11210</v>
      </c>
      <c r="B415" s="275" t="s">
        <v>221</v>
      </c>
      <c r="C415" s="275" t="s">
        <v>955</v>
      </c>
      <c r="D415" s="275" t="s">
        <v>956</v>
      </c>
      <c r="E415" s="276">
        <v>1.2</v>
      </c>
      <c r="F415" s="276" t="s">
        <v>119</v>
      </c>
      <c r="G415" s="276">
        <v>0</v>
      </c>
      <c r="H415" s="276">
        <v>0</v>
      </c>
      <c r="I415" s="276">
        <v>6</v>
      </c>
      <c r="J415" s="276">
        <v>0</v>
      </c>
      <c r="K415" s="276">
        <v>6</v>
      </c>
      <c r="L415" s="276">
        <v>6</v>
      </c>
      <c r="M415" s="277">
        <v>7.2</v>
      </c>
    </row>
    <row r="416" spans="1:13" ht="14.25">
      <c r="A416" s="278">
        <v>11210</v>
      </c>
      <c r="B416" s="279" t="s">
        <v>221</v>
      </c>
      <c r="C416" s="279" t="s">
        <v>957</v>
      </c>
      <c r="D416" s="279" t="s">
        <v>50</v>
      </c>
      <c r="E416" s="280">
        <v>1</v>
      </c>
      <c r="F416" s="280" t="s">
        <v>119</v>
      </c>
      <c r="G416" s="280">
        <v>0</v>
      </c>
      <c r="H416" s="280">
        <v>0</v>
      </c>
      <c r="I416" s="280">
        <v>2</v>
      </c>
      <c r="J416" s="280">
        <v>0</v>
      </c>
      <c r="K416" s="280">
        <v>2</v>
      </c>
      <c r="L416" s="280">
        <v>2</v>
      </c>
      <c r="M416" s="281">
        <v>2</v>
      </c>
    </row>
    <row r="417" spans="1:13" ht="14.25">
      <c r="A417" s="274">
        <v>11210</v>
      </c>
      <c r="B417" s="275" t="s">
        <v>221</v>
      </c>
      <c r="C417" s="275" t="s">
        <v>958</v>
      </c>
      <c r="D417" s="275" t="s">
        <v>959</v>
      </c>
      <c r="E417" s="276">
        <v>1</v>
      </c>
      <c r="F417" s="276" t="s">
        <v>119</v>
      </c>
      <c r="G417" s="276">
        <v>0</v>
      </c>
      <c r="H417" s="276">
        <v>0</v>
      </c>
      <c r="I417" s="276">
        <v>9</v>
      </c>
      <c r="J417" s="276">
        <v>0</v>
      </c>
      <c r="K417" s="276">
        <v>9</v>
      </c>
      <c r="L417" s="276">
        <v>9</v>
      </c>
      <c r="M417" s="277">
        <v>9</v>
      </c>
    </row>
    <row r="418" spans="1:13" ht="14.25">
      <c r="A418" s="278">
        <v>11210</v>
      </c>
      <c r="B418" s="279" t="s">
        <v>221</v>
      </c>
      <c r="C418" s="279" t="s">
        <v>960</v>
      </c>
      <c r="D418" s="279" t="s">
        <v>961</v>
      </c>
      <c r="E418" s="280">
        <v>1</v>
      </c>
      <c r="F418" s="280" t="s">
        <v>119</v>
      </c>
      <c r="G418" s="280">
        <v>0</v>
      </c>
      <c r="H418" s="280">
        <v>0</v>
      </c>
      <c r="I418" s="280">
        <v>5</v>
      </c>
      <c r="J418" s="280">
        <v>0</v>
      </c>
      <c r="K418" s="280">
        <v>5</v>
      </c>
      <c r="L418" s="280">
        <v>5</v>
      </c>
      <c r="M418" s="281">
        <v>5</v>
      </c>
    </row>
    <row r="419" spans="1:13" ht="14.25">
      <c r="A419" s="274">
        <v>11210</v>
      </c>
      <c r="B419" s="275" t="s">
        <v>221</v>
      </c>
      <c r="C419" s="275" t="s">
        <v>962</v>
      </c>
      <c r="D419" s="275" t="s">
        <v>890</v>
      </c>
      <c r="E419" s="276">
        <v>1</v>
      </c>
      <c r="F419" s="276" t="s">
        <v>119</v>
      </c>
      <c r="G419" s="276">
        <v>0</v>
      </c>
      <c r="H419" s="276">
        <v>0</v>
      </c>
      <c r="I419" s="276">
        <v>5</v>
      </c>
      <c r="J419" s="276">
        <v>0</v>
      </c>
      <c r="K419" s="276">
        <v>5</v>
      </c>
      <c r="L419" s="276">
        <v>5</v>
      </c>
      <c r="M419" s="277">
        <v>5</v>
      </c>
    </row>
    <row r="420" spans="1:13" ht="14.25">
      <c r="A420" s="278">
        <v>11210</v>
      </c>
      <c r="B420" s="279" t="s">
        <v>221</v>
      </c>
      <c r="C420" s="279" t="s">
        <v>963</v>
      </c>
      <c r="D420" s="279" t="s">
        <v>964</v>
      </c>
      <c r="E420" s="280">
        <v>1</v>
      </c>
      <c r="F420" s="280" t="s">
        <v>119</v>
      </c>
      <c r="G420" s="280">
        <v>0</v>
      </c>
      <c r="H420" s="280">
        <v>2</v>
      </c>
      <c r="I420" s="280">
        <v>1</v>
      </c>
      <c r="J420" s="280">
        <v>0</v>
      </c>
      <c r="K420" s="280">
        <v>3</v>
      </c>
      <c r="L420" s="280">
        <v>1</v>
      </c>
      <c r="M420" s="281">
        <v>1</v>
      </c>
    </row>
    <row r="421" spans="1:13" ht="14.25">
      <c r="A421" s="274">
        <v>11210</v>
      </c>
      <c r="B421" s="275" t="s">
        <v>221</v>
      </c>
      <c r="C421" s="275" t="s">
        <v>66</v>
      </c>
      <c r="D421" s="275" t="s">
        <v>62</v>
      </c>
      <c r="E421" s="276">
        <v>1</v>
      </c>
      <c r="F421" s="276" t="s">
        <v>119</v>
      </c>
      <c r="G421" s="276">
        <v>0</v>
      </c>
      <c r="H421" s="276">
        <v>0</v>
      </c>
      <c r="I421" s="276">
        <v>9</v>
      </c>
      <c r="J421" s="276">
        <v>0</v>
      </c>
      <c r="K421" s="276">
        <v>9</v>
      </c>
      <c r="L421" s="276">
        <v>9</v>
      </c>
      <c r="M421" s="277">
        <v>9</v>
      </c>
    </row>
    <row r="422" spans="1:13" ht="14.25">
      <c r="A422" s="278">
        <v>11210</v>
      </c>
      <c r="B422" s="279" t="s">
        <v>221</v>
      </c>
      <c r="C422" s="279" t="s">
        <v>66</v>
      </c>
      <c r="D422" s="279" t="s">
        <v>62</v>
      </c>
      <c r="E422" s="280">
        <v>1</v>
      </c>
      <c r="F422" s="280" t="s">
        <v>122</v>
      </c>
      <c r="G422" s="280">
        <v>0</v>
      </c>
      <c r="H422" s="280">
        <v>8</v>
      </c>
      <c r="I422" s="280">
        <v>18</v>
      </c>
      <c r="J422" s="280">
        <v>0</v>
      </c>
      <c r="K422" s="280">
        <v>26</v>
      </c>
      <c r="L422" s="280">
        <v>18</v>
      </c>
      <c r="M422" s="281">
        <v>18</v>
      </c>
    </row>
    <row r="423" spans="1:13" ht="14.25">
      <c r="A423" s="274">
        <v>11210</v>
      </c>
      <c r="B423" s="275" t="s">
        <v>221</v>
      </c>
      <c r="C423" s="275" t="s">
        <v>254</v>
      </c>
      <c r="D423" s="275" t="s">
        <v>224</v>
      </c>
      <c r="E423" s="276">
        <v>1</v>
      </c>
      <c r="F423" s="276" t="s">
        <v>122</v>
      </c>
      <c r="G423" s="276">
        <v>0</v>
      </c>
      <c r="H423" s="276">
        <v>2</v>
      </c>
      <c r="I423" s="276">
        <v>1</v>
      </c>
      <c r="J423" s="276">
        <v>0</v>
      </c>
      <c r="K423" s="276">
        <v>3</v>
      </c>
      <c r="L423" s="276">
        <v>1</v>
      </c>
      <c r="M423" s="277">
        <v>1</v>
      </c>
    </row>
    <row r="424" spans="1:13" ht="14.25">
      <c r="A424" s="278">
        <v>11210</v>
      </c>
      <c r="B424" s="279" t="s">
        <v>221</v>
      </c>
      <c r="C424" s="279" t="s">
        <v>56</v>
      </c>
      <c r="D424" s="279" t="s">
        <v>50</v>
      </c>
      <c r="E424" s="280">
        <v>1</v>
      </c>
      <c r="F424" s="280" t="s">
        <v>122</v>
      </c>
      <c r="G424" s="280">
        <v>0</v>
      </c>
      <c r="H424" s="280">
        <v>10</v>
      </c>
      <c r="I424" s="280">
        <v>6</v>
      </c>
      <c r="J424" s="280">
        <v>0</v>
      </c>
      <c r="K424" s="280">
        <v>16</v>
      </c>
      <c r="L424" s="280">
        <v>6</v>
      </c>
      <c r="M424" s="281">
        <v>6</v>
      </c>
    </row>
    <row r="425" spans="1:13" ht="14.25">
      <c r="A425" s="274">
        <v>11210</v>
      </c>
      <c r="B425" s="275" t="s">
        <v>221</v>
      </c>
      <c r="C425" s="275" t="s">
        <v>57</v>
      </c>
      <c r="D425" s="275" t="s">
        <v>54</v>
      </c>
      <c r="E425" s="276">
        <v>1</v>
      </c>
      <c r="F425" s="276" t="s">
        <v>119</v>
      </c>
      <c r="G425" s="276">
        <v>0</v>
      </c>
      <c r="H425" s="276">
        <v>2</v>
      </c>
      <c r="I425" s="276">
        <v>2</v>
      </c>
      <c r="J425" s="276">
        <v>0</v>
      </c>
      <c r="K425" s="276">
        <v>4</v>
      </c>
      <c r="L425" s="276">
        <v>2</v>
      </c>
      <c r="M425" s="277">
        <v>2</v>
      </c>
    </row>
    <row r="426" spans="1:13" ht="14.25">
      <c r="A426" s="278">
        <v>11210</v>
      </c>
      <c r="B426" s="279" t="s">
        <v>221</v>
      </c>
      <c r="C426" s="279" t="s">
        <v>57</v>
      </c>
      <c r="D426" s="279" t="s">
        <v>54</v>
      </c>
      <c r="E426" s="280">
        <v>1</v>
      </c>
      <c r="F426" s="280" t="s">
        <v>122</v>
      </c>
      <c r="G426" s="280">
        <v>0</v>
      </c>
      <c r="H426" s="280">
        <v>16</v>
      </c>
      <c r="I426" s="280">
        <v>13</v>
      </c>
      <c r="J426" s="280">
        <v>0</v>
      </c>
      <c r="K426" s="280">
        <v>29</v>
      </c>
      <c r="L426" s="280">
        <v>13</v>
      </c>
      <c r="M426" s="281">
        <v>13</v>
      </c>
    </row>
    <row r="427" spans="1:13" ht="14.25">
      <c r="A427" s="274">
        <v>11210</v>
      </c>
      <c r="B427" s="275" t="s">
        <v>221</v>
      </c>
      <c r="C427" s="275" t="s">
        <v>586</v>
      </c>
      <c r="D427" s="275" t="s">
        <v>230</v>
      </c>
      <c r="E427" s="276">
        <v>1</v>
      </c>
      <c r="F427" s="276" t="s">
        <v>119</v>
      </c>
      <c r="G427" s="276">
        <v>0</v>
      </c>
      <c r="H427" s="276">
        <v>0</v>
      </c>
      <c r="I427" s="276">
        <v>3</v>
      </c>
      <c r="J427" s="276">
        <v>0</v>
      </c>
      <c r="K427" s="276">
        <v>3</v>
      </c>
      <c r="L427" s="276">
        <v>3</v>
      </c>
      <c r="M427" s="277">
        <v>3</v>
      </c>
    </row>
    <row r="428" spans="1:13" ht="14.25">
      <c r="A428" s="278">
        <v>11210</v>
      </c>
      <c r="B428" s="279" t="s">
        <v>221</v>
      </c>
      <c r="C428" s="279" t="s">
        <v>586</v>
      </c>
      <c r="D428" s="279" t="s">
        <v>230</v>
      </c>
      <c r="E428" s="280">
        <v>1</v>
      </c>
      <c r="F428" s="280" t="s">
        <v>122</v>
      </c>
      <c r="G428" s="280">
        <v>0</v>
      </c>
      <c r="H428" s="280">
        <v>1</v>
      </c>
      <c r="I428" s="280">
        <v>5</v>
      </c>
      <c r="J428" s="280">
        <v>0</v>
      </c>
      <c r="K428" s="280">
        <v>6</v>
      </c>
      <c r="L428" s="280">
        <v>5</v>
      </c>
      <c r="M428" s="281">
        <v>5</v>
      </c>
    </row>
    <row r="429" spans="1:13" ht="14.25">
      <c r="A429" s="274">
        <v>11210</v>
      </c>
      <c r="B429" s="275" t="s">
        <v>221</v>
      </c>
      <c r="C429" s="275" t="s">
        <v>255</v>
      </c>
      <c r="D429" s="275" t="s">
        <v>39</v>
      </c>
      <c r="E429" s="276">
        <v>1</v>
      </c>
      <c r="F429" s="276" t="s">
        <v>119</v>
      </c>
      <c r="G429" s="276">
        <v>0</v>
      </c>
      <c r="H429" s="276">
        <v>0</v>
      </c>
      <c r="I429" s="276">
        <v>31</v>
      </c>
      <c r="J429" s="276">
        <v>0</v>
      </c>
      <c r="K429" s="276">
        <v>31</v>
      </c>
      <c r="L429" s="276">
        <v>31</v>
      </c>
      <c r="M429" s="277">
        <v>31</v>
      </c>
    </row>
    <row r="430" spans="1:13" ht="14.25">
      <c r="A430" s="278">
        <v>11210</v>
      </c>
      <c r="B430" s="279" t="s">
        <v>221</v>
      </c>
      <c r="C430" s="279" t="s">
        <v>255</v>
      </c>
      <c r="D430" s="279" t="s">
        <v>39</v>
      </c>
      <c r="E430" s="280">
        <v>1</v>
      </c>
      <c r="F430" s="280" t="s">
        <v>122</v>
      </c>
      <c r="G430" s="280">
        <v>0</v>
      </c>
      <c r="H430" s="280">
        <v>133</v>
      </c>
      <c r="I430" s="280">
        <v>130</v>
      </c>
      <c r="J430" s="280">
        <v>6</v>
      </c>
      <c r="K430" s="280">
        <v>269</v>
      </c>
      <c r="L430" s="280">
        <v>133</v>
      </c>
      <c r="M430" s="281">
        <v>133</v>
      </c>
    </row>
    <row r="431" spans="1:13" ht="14.25">
      <c r="A431" s="274">
        <v>11210</v>
      </c>
      <c r="B431" s="275" t="s">
        <v>221</v>
      </c>
      <c r="C431" s="275" t="s">
        <v>256</v>
      </c>
      <c r="D431" s="275" t="s">
        <v>233</v>
      </c>
      <c r="E431" s="276">
        <v>1</v>
      </c>
      <c r="F431" s="276" t="s">
        <v>119</v>
      </c>
      <c r="G431" s="276">
        <v>0</v>
      </c>
      <c r="H431" s="276">
        <v>0</v>
      </c>
      <c r="I431" s="276">
        <v>4</v>
      </c>
      <c r="J431" s="276">
        <v>0</v>
      </c>
      <c r="K431" s="276">
        <v>4</v>
      </c>
      <c r="L431" s="276">
        <v>4</v>
      </c>
      <c r="M431" s="277">
        <v>4</v>
      </c>
    </row>
    <row r="432" spans="1:13" ht="14.25">
      <c r="A432" s="278">
        <v>11210</v>
      </c>
      <c r="B432" s="279" t="s">
        <v>221</v>
      </c>
      <c r="C432" s="279" t="s">
        <v>256</v>
      </c>
      <c r="D432" s="279" t="s">
        <v>233</v>
      </c>
      <c r="E432" s="280">
        <v>1</v>
      </c>
      <c r="F432" s="280" t="s">
        <v>122</v>
      </c>
      <c r="G432" s="280">
        <v>0</v>
      </c>
      <c r="H432" s="280">
        <v>12</v>
      </c>
      <c r="I432" s="280">
        <v>7</v>
      </c>
      <c r="J432" s="280">
        <v>0</v>
      </c>
      <c r="K432" s="280">
        <v>19</v>
      </c>
      <c r="L432" s="280">
        <v>7</v>
      </c>
      <c r="M432" s="281">
        <v>7</v>
      </c>
    </row>
    <row r="433" spans="1:13" ht="14.25">
      <c r="A433" s="274">
        <v>11210</v>
      </c>
      <c r="B433" s="275" t="s">
        <v>221</v>
      </c>
      <c r="C433" s="275" t="s">
        <v>257</v>
      </c>
      <c r="D433" s="275" t="s">
        <v>41</v>
      </c>
      <c r="E433" s="276">
        <v>1.2</v>
      </c>
      <c r="F433" s="276" t="s">
        <v>119</v>
      </c>
      <c r="G433" s="276">
        <v>0</v>
      </c>
      <c r="H433" s="276">
        <v>4</v>
      </c>
      <c r="I433" s="276">
        <v>51</v>
      </c>
      <c r="J433" s="276">
        <v>0</v>
      </c>
      <c r="K433" s="276">
        <v>55</v>
      </c>
      <c r="L433" s="276">
        <v>51</v>
      </c>
      <c r="M433" s="277">
        <v>61.2</v>
      </c>
    </row>
    <row r="434" spans="1:13" ht="14.25">
      <c r="A434" s="278">
        <v>11210</v>
      </c>
      <c r="B434" s="279" t="s">
        <v>221</v>
      </c>
      <c r="C434" s="279" t="s">
        <v>257</v>
      </c>
      <c r="D434" s="279" t="s">
        <v>41</v>
      </c>
      <c r="E434" s="280">
        <v>1.2</v>
      </c>
      <c r="F434" s="280" t="s">
        <v>122</v>
      </c>
      <c r="G434" s="280">
        <v>0</v>
      </c>
      <c r="H434" s="280">
        <v>111</v>
      </c>
      <c r="I434" s="280">
        <v>147</v>
      </c>
      <c r="J434" s="280">
        <v>4</v>
      </c>
      <c r="K434" s="280">
        <v>262</v>
      </c>
      <c r="L434" s="280">
        <v>149</v>
      </c>
      <c r="M434" s="281">
        <v>178.8</v>
      </c>
    </row>
    <row r="435" spans="1:13" ht="14.25">
      <c r="A435" s="274">
        <v>11210</v>
      </c>
      <c r="B435" s="275" t="s">
        <v>221</v>
      </c>
      <c r="C435" s="275" t="s">
        <v>92</v>
      </c>
      <c r="D435" s="275" t="s">
        <v>93</v>
      </c>
      <c r="E435" s="276">
        <v>1</v>
      </c>
      <c r="F435" s="276" t="s">
        <v>122</v>
      </c>
      <c r="G435" s="276">
        <v>0</v>
      </c>
      <c r="H435" s="276">
        <v>4</v>
      </c>
      <c r="I435" s="276">
        <v>11</v>
      </c>
      <c r="J435" s="276">
        <v>1</v>
      </c>
      <c r="K435" s="276">
        <v>16</v>
      </c>
      <c r="L435" s="276">
        <v>11.5</v>
      </c>
      <c r="M435" s="277">
        <v>11.5</v>
      </c>
    </row>
    <row r="436" spans="1:13" ht="14.25">
      <c r="A436" s="278">
        <v>11210</v>
      </c>
      <c r="B436" s="279" t="s">
        <v>221</v>
      </c>
      <c r="C436" s="279" t="s">
        <v>19</v>
      </c>
      <c r="D436" s="279" t="s">
        <v>20</v>
      </c>
      <c r="E436" s="280">
        <v>1</v>
      </c>
      <c r="F436" s="280" t="s">
        <v>122</v>
      </c>
      <c r="G436" s="280">
        <v>0</v>
      </c>
      <c r="H436" s="280">
        <v>24</v>
      </c>
      <c r="I436" s="280">
        <v>22</v>
      </c>
      <c r="J436" s="280">
        <v>1</v>
      </c>
      <c r="K436" s="280">
        <v>47</v>
      </c>
      <c r="L436" s="280">
        <v>22.5</v>
      </c>
      <c r="M436" s="281">
        <v>22.5</v>
      </c>
    </row>
    <row r="437" spans="1:13" ht="14.25">
      <c r="A437" s="274">
        <v>11210</v>
      </c>
      <c r="B437" s="275" t="s">
        <v>221</v>
      </c>
      <c r="C437" s="275" t="s">
        <v>258</v>
      </c>
      <c r="D437" s="275" t="s">
        <v>244</v>
      </c>
      <c r="E437" s="276">
        <v>1</v>
      </c>
      <c r="F437" s="276" t="s">
        <v>119</v>
      </c>
      <c r="G437" s="276">
        <v>0</v>
      </c>
      <c r="H437" s="276">
        <v>0</v>
      </c>
      <c r="I437" s="276">
        <v>5</v>
      </c>
      <c r="J437" s="276">
        <v>0</v>
      </c>
      <c r="K437" s="276">
        <v>5</v>
      </c>
      <c r="L437" s="276">
        <v>5</v>
      </c>
      <c r="M437" s="277">
        <v>5</v>
      </c>
    </row>
    <row r="438" spans="1:13" ht="14.25">
      <c r="A438" s="278">
        <v>11210</v>
      </c>
      <c r="B438" s="279" t="s">
        <v>221</v>
      </c>
      <c r="C438" s="279" t="s">
        <v>258</v>
      </c>
      <c r="D438" s="279" t="s">
        <v>244</v>
      </c>
      <c r="E438" s="280">
        <v>1</v>
      </c>
      <c r="F438" s="280" t="s">
        <v>122</v>
      </c>
      <c r="G438" s="280">
        <v>0</v>
      </c>
      <c r="H438" s="280">
        <v>44</v>
      </c>
      <c r="I438" s="280">
        <v>35</v>
      </c>
      <c r="J438" s="280">
        <v>1</v>
      </c>
      <c r="K438" s="280">
        <v>80</v>
      </c>
      <c r="L438" s="280">
        <v>35.5</v>
      </c>
      <c r="M438" s="281">
        <v>35.5</v>
      </c>
    </row>
    <row r="439" spans="1:13" ht="9.75">
      <c r="A439" s="282">
        <v>11210</v>
      </c>
      <c r="B439" s="283" t="s">
        <v>163</v>
      </c>
      <c r="C439" s="283"/>
      <c r="D439" s="283"/>
      <c r="E439" s="283"/>
      <c r="F439" s="284" t="s">
        <v>132</v>
      </c>
      <c r="G439" s="284">
        <v>729</v>
      </c>
      <c r="H439" s="284">
        <v>65</v>
      </c>
      <c r="I439" s="284">
        <v>451</v>
      </c>
      <c r="J439" s="284">
        <v>9</v>
      </c>
      <c r="K439" s="284">
        <v>1254</v>
      </c>
      <c r="L439" s="284"/>
      <c r="M439" s="1052"/>
    </row>
    <row r="440" spans="1:13" ht="9.75">
      <c r="A440" s="282">
        <v>11210</v>
      </c>
      <c r="B440" s="283" t="s">
        <v>163</v>
      </c>
      <c r="C440" s="283"/>
      <c r="D440" s="283"/>
      <c r="E440" s="283"/>
      <c r="F440" s="284" t="s">
        <v>109</v>
      </c>
      <c r="G440" s="284">
        <v>0</v>
      </c>
      <c r="H440" s="284">
        <v>420</v>
      </c>
      <c r="I440" s="284">
        <v>1718</v>
      </c>
      <c r="J440" s="284">
        <v>36</v>
      </c>
      <c r="K440" s="284">
        <v>2174</v>
      </c>
      <c r="L440" s="284"/>
      <c r="M440" s="1052"/>
    </row>
    <row r="441" spans="1:13" ht="9.75">
      <c r="A441" s="282">
        <v>11210</v>
      </c>
      <c r="B441" s="283" t="s">
        <v>163</v>
      </c>
      <c r="C441" s="283"/>
      <c r="D441" s="283"/>
      <c r="E441" s="283"/>
      <c r="F441" s="284" t="s">
        <v>110</v>
      </c>
      <c r="G441" s="284">
        <v>0</v>
      </c>
      <c r="H441" s="284">
        <v>0</v>
      </c>
      <c r="I441" s="284">
        <v>0</v>
      </c>
      <c r="J441" s="284">
        <v>0</v>
      </c>
      <c r="K441" s="284">
        <v>0</v>
      </c>
      <c r="L441" s="284"/>
      <c r="M441" s="1052"/>
    </row>
    <row r="442" spans="1:13" ht="9.75">
      <c r="A442" s="282">
        <v>11210</v>
      </c>
      <c r="B442" s="283" t="s">
        <v>163</v>
      </c>
      <c r="C442" s="283"/>
      <c r="D442" s="283"/>
      <c r="E442" s="283"/>
      <c r="F442" s="284" t="s">
        <v>113</v>
      </c>
      <c r="G442" s="284">
        <v>0</v>
      </c>
      <c r="H442" s="284">
        <v>0</v>
      </c>
      <c r="I442" s="284">
        <v>0</v>
      </c>
      <c r="J442" s="284">
        <v>0</v>
      </c>
      <c r="K442" s="284">
        <v>0</v>
      </c>
      <c r="L442" s="284"/>
      <c r="M442" s="1052"/>
    </row>
    <row r="443" spans="1:13" ht="9.75">
      <c r="A443" s="282">
        <v>11210</v>
      </c>
      <c r="B443" s="283" t="s">
        <v>163</v>
      </c>
      <c r="C443" s="283"/>
      <c r="D443" s="283"/>
      <c r="E443" s="283"/>
      <c r="F443" s="284" t="s">
        <v>116</v>
      </c>
      <c r="G443" s="284">
        <v>0</v>
      </c>
      <c r="H443" s="284">
        <v>20</v>
      </c>
      <c r="I443" s="284">
        <v>547</v>
      </c>
      <c r="J443" s="284">
        <v>1</v>
      </c>
      <c r="K443" s="284">
        <v>568</v>
      </c>
      <c r="L443" s="284"/>
      <c r="M443" s="1052"/>
    </row>
    <row r="444" spans="1:13" ht="9.75">
      <c r="A444" s="282">
        <v>11210</v>
      </c>
      <c r="B444" s="283" t="s">
        <v>163</v>
      </c>
      <c r="C444" s="283"/>
      <c r="D444" s="283"/>
      <c r="E444" s="283"/>
      <c r="F444" s="284" t="s">
        <v>114</v>
      </c>
      <c r="G444" s="284">
        <v>0</v>
      </c>
      <c r="H444" s="284">
        <v>178</v>
      </c>
      <c r="I444" s="284">
        <v>859</v>
      </c>
      <c r="J444" s="284">
        <v>16</v>
      </c>
      <c r="K444" s="284">
        <v>1053</v>
      </c>
      <c r="L444" s="284"/>
      <c r="M444" s="1052"/>
    </row>
    <row r="445" spans="1:13" ht="9.75">
      <c r="A445" s="282">
        <v>11210</v>
      </c>
      <c r="B445" s="283" t="s">
        <v>163</v>
      </c>
      <c r="C445" s="283"/>
      <c r="D445" s="283"/>
      <c r="E445" s="283"/>
      <c r="F445" s="284" t="s">
        <v>119</v>
      </c>
      <c r="G445" s="284">
        <v>0</v>
      </c>
      <c r="H445" s="284">
        <v>13</v>
      </c>
      <c r="I445" s="284">
        <v>171</v>
      </c>
      <c r="J445" s="284">
        <v>1</v>
      </c>
      <c r="K445" s="284">
        <v>185</v>
      </c>
      <c r="L445" s="284"/>
      <c r="M445" s="1052"/>
    </row>
    <row r="446" spans="1:13" ht="9.75">
      <c r="A446" s="282">
        <v>11210</v>
      </c>
      <c r="B446" s="283" t="s">
        <v>163</v>
      </c>
      <c r="C446" s="283"/>
      <c r="D446" s="283"/>
      <c r="E446" s="283"/>
      <c r="F446" s="284" t="s">
        <v>122</v>
      </c>
      <c r="G446" s="284">
        <v>0</v>
      </c>
      <c r="H446" s="284">
        <v>365</v>
      </c>
      <c r="I446" s="284">
        <v>395</v>
      </c>
      <c r="J446" s="284">
        <v>13</v>
      </c>
      <c r="K446" s="284">
        <v>773</v>
      </c>
      <c r="L446" s="284"/>
      <c r="M446" s="1052"/>
    </row>
    <row r="447" spans="1:13" ht="14.25">
      <c r="A447" s="274">
        <v>11220</v>
      </c>
      <c r="B447" s="275" t="s">
        <v>259</v>
      </c>
      <c r="C447" s="275" t="s">
        <v>965</v>
      </c>
      <c r="D447" s="275" t="s">
        <v>261</v>
      </c>
      <c r="E447" s="276">
        <v>1</v>
      </c>
      <c r="F447" s="276" t="s">
        <v>110</v>
      </c>
      <c r="G447" s="276">
        <v>410</v>
      </c>
      <c r="H447" s="276">
        <v>26</v>
      </c>
      <c r="I447" s="276">
        <v>163</v>
      </c>
      <c r="J447" s="276">
        <v>7</v>
      </c>
      <c r="K447" s="276">
        <v>606</v>
      </c>
      <c r="L447" s="276">
        <v>576.5</v>
      </c>
      <c r="M447" s="277">
        <v>576.5</v>
      </c>
    </row>
    <row r="448" spans="1:13" ht="14.25">
      <c r="A448" s="278">
        <v>11220</v>
      </c>
      <c r="B448" s="279" t="s">
        <v>259</v>
      </c>
      <c r="C448" s="279" t="s">
        <v>260</v>
      </c>
      <c r="D448" s="279" t="s">
        <v>261</v>
      </c>
      <c r="E448" s="280">
        <v>1</v>
      </c>
      <c r="F448" s="280" t="s">
        <v>110</v>
      </c>
      <c r="G448" s="280">
        <v>0</v>
      </c>
      <c r="H448" s="280">
        <v>1</v>
      </c>
      <c r="I448" s="280">
        <v>5</v>
      </c>
      <c r="J448" s="280">
        <v>0</v>
      </c>
      <c r="K448" s="280">
        <v>6</v>
      </c>
      <c r="L448" s="280">
        <v>5</v>
      </c>
      <c r="M448" s="281">
        <v>5</v>
      </c>
    </row>
    <row r="449" spans="1:13" ht="14.25">
      <c r="A449" s="274">
        <v>11220</v>
      </c>
      <c r="B449" s="275" t="s">
        <v>259</v>
      </c>
      <c r="C449" s="275" t="s">
        <v>260</v>
      </c>
      <c r="D449" s="275" t="s">
        <v>261</v>
      </c>
      <c r="E449" s="276">
        <v>1</v>
      </c>
      <c r="F449" s="276" t="s">
        <v>113</v>
      </c>
      <c r="G449" s="276">
        <v>0</v>
      </c>
      <c r="H449" s="276">
        <v>601</v>
      </c>
      <c r="I449" s="276">
        <v>2321</v>
      </c>
      <c r="J449" s="276">
        <v>38</v>
      </c>
      <c r="K449" s="276">
        <v>2960</v>
      </c>
      <c r="L449" s="276">
        <v>2340</v>
      </c>
      <c r="M449" s="277">
        <v>2340</v>
      </c>
    </row>
    <row r="450" spans="1:13" ht="14.25">
      <c r="A450" s="278">
        <v>11220</v>
      </c>
      <c r="B450" s="279" t="s">
        <v>259</v>
      </c>
      <c r="C450" s="279" t="s">
        <v>966</v>
      </c>
      <c r="D450" s="279" t="s">
        <v>967</v>
      </c>
      <c r="E450" s="280">
        <v>1</v>
      </c>
      <c r="F450" s="280" t="s">
        <v>119</v>
      </c>
      <c r="G450" s="280">
        <v>0</v>
      </c>
      <c r="H450" s="280">
        <v>1</v>
      </c>
      <c r="I450" s="280">
        <v>6</v>
      </c>
      <c r="J450" s="280">
        <v>0</v>
      </c>
      <c r="K450" s="280">
        <v>7</v>
      </c>
      <c r="L450" s="280">
        <v>6</v>
      </c>
      <c r="M450" s="281">
        <v>6</v>
      </c>
    </row>
    <row r="451" spans="1:13" ht="14.25">
      <c r="A451" s="274">
        <v>11220</v>
      </c>
      <c r="B451" s="275" t="s">
        <v>259</v>
      </c>
      <c r="C451" s="275" t="s">
        <v>966</v>
      </c>
      <c r="D451" s="275" t="s">
        <v>967</v>
      </c>
      <c r="E451" s="276">
        <v>1</v>
      </c>
      <c r="F451" s="276" t="s">
        <v>122</v>
      </c>
      <c r="G451" s="276">
        <v>0</v>
      </c>
      <c r="H451" s="276">
        <v>6</v>
      </c>
      <c r="I451" s="276">
        <v>24</v>
      </c>
      <c r="J451" s="276">
        <v>1</v>
      </c>
      <c r="K451" s="276">
        <v>31</v>
      </c>
      <c r="L451" s="276">
        <v>24.5</v>
      </c>
      <c r="M451" s="277">
        <v>24.5</v>
      </c>
    </row>
    <row r="452" spans="1:13" ht="14.25">
      <c r="A452" s="278">
        <v>11220</v>
      </c>
      <c r="B452" s="279" t="s">
        <v>259</v>
      </c>
      <c r="C452" s="279" t="s">
        <v>968</v>
      </c>
      <c r="D452" s="279" t="s">
        <v>969</v>
      </c>
      <c r="E452" s="280">
        <v>1</v>
      </c>
      <c r="F452" s="280" t="s">
        <v>119</v>
      </c>
      <c r="G452" s="280">
        <v>0</v>
      </c>
      <c r="H452" s="280">
        <v>0</v>
      </c>
      <c r="I452" s="280">
        <v>6</v>
      </c>
      <c r="J452" s="280">
        <v>0</v>
      </c>
      <c r="K452" s="280">
        <v>6</v>
      </c>
      <c r="L452" s="280">
        <v>6</v>
      </c>
      <c r="M452" s="281">
        <v>6</v>
      </c>
    </row>
    <row r="453" spans="1:13" ht="14.25">
      <c r="A453" s="274">
        <v>11220</v>
      </c>
      <c r="B453" s="275" t="s">
        <v>259</v>
      </c>
      <c r="C453" s="275" t="s">
        <v>968</v>
      </c>
      <c r="D453" s="275" t="s">
        <v>969</v>
      </c>
      <c r="E453" s="276">
        <v>1</v>
      </c>
      <c r="F453" s="276" t="s">
        <v>122</v>
      </c>
      <c r="G453" s="276">
        <v>0</v>
      </c>
      <c r="H453" s="276">
        <v>2</v>
      </c>
      <c r="I453" s="276">
        <v>16</v>
      </c>
      <c r="J453" s="276">
        <v>0</v>
      </c>
      <c r="K453" s="276">
        <v>18</v>
      </c>
      <c r="L453" s="276">
        <v>16</v>
      </c>
      <c r="M453" s="277">
        <v>16</v>
      </c>
    </row>
    <row r="454" spans="1:13" ht="14.25">
      <c r="A454" s="278">
        <v>11220</v>
      </c>
      <c r="B454" s="279" t="s">
        <v>259</v>
      </c>
      <c r="C454" s="279" t="s">
        <v>970</v>
      </c>
      <c r="D454" s="279" t="s">
        <v>971</v>
      </c>
      <c r="E454" s="280">
        <v>1</v>
      </c>
      <c r="F454" s="280" t="s">
        <v>119</v>
      </c>
      <c r="G454" s="280">
        <v>0</v>
      </c>
      <c r="H454" s="280">
        <v>0</v>
      </c>
      <c r="I454" s="280">
        <v>6</v>
      </c>
      <c r="J454" s="280">
        <v>0</v>
      </c>
      <c r="K454" s="280">
        <v>6</v>
      </c>
      <c r="L454" s="280">
        <v>6</v>
      </c>
      <c r="M454" s="281">
        <v>6</v>
      </c>
    </row>
    <row r="455" spans="1:13" ht="14.25">
      <c r="A455" s="274">
        <v>11220</v>
      </c>
      <c r="B455" s="275" t="s">
        <v>259</v>
      </c>
      <c r="C455" s="275" t="s">
        <v>970</v>
      </c>
      <c r="D455" s="275" t="s">
        <v>971</v>
      </c>
      <c r="E455" s="276">
        <v>1</v>
      </c>
      <c r="F455" s="276" t="s">
        <v>122</v>
      </c>
      <c r="G455" s="276">
        <v>0</v>
      </c>
      <c r="H455" s="276">
        <v>2</v>
      </c>
      <c r="I455" s="276">
        <v>17</v>
      </c>
      <c r="J455" s="276">
        <v>0</v>
      </c>
      <c r="K455" s="276">
        <v>19</v>
      </c>
      <c r="L455" s="276">
        <v>17</v>
      </c>
      <c r="M455" s="277">
        <v>17</v>
      </c>
    </row>
    <row r="456" spans="1:13" ht="21">
      <c r="A456" s="278">
        <v>11220</v>
      </c>
      <c r="B456" s="279" t="s">
        <v>259</v>
      </c>
      <c r="C456" s="279" t="s">
        <v>972</v>
      </c>
      <c r="D456" s="279" t="s">
        <v>973</v>
      </c>
      <c r="E456" s="280">
        <v>1</v>
      </c>
      <c r="F456" s="280" t="s">
        <v>119</v>
      </c>
      <c r="G456" s="280">
        <v>0</v>
      </c>
      <c r="H456" s="280">
        <v>1</v>
      </c>
      <c r="I456" s="280">
        <v>6</v>
      </c>
      <c r="J456" s="280">
        <v>0</v>
      </c>
      <c r="K456" s="280">
        <v>7</v>
      </c>
      <c r="L456" s="280">
        <v>6</v>
      </c>
      <c r="M456" s="281">
        <v>6</v>
      </c>
    </row>
    <row r="457" spans="1:13" ht="21">
      <c r="A457" s="274">
        <v>11220</v>
      </c>
      <c r="B457" s="275" t="s">
        <v>259</v>
      </c>
      <c r="C457" s="275" t="s">
        <v>972</v>
      </c>
      <c r="D457" s="275" t="s">
        <v>973</v>
      </c>
      <c r="E457" s="276">
        <v>1</v>
      </c>
      <c r="F457" s="276" t="s">
        <v>122</v>
      </c>
      <c r="G457" s="276">
        <v>0</v>
      </c>
      <c r="H457" s="276">
        <v>1</v>
      </c>
      <c r="I457" s="276">
        <v>11</v>
      </c>
      <c r="J457" s="276">
        <v>0</v>
      </c>
      <c r="K457" s="276">
        <v>12</v>
      </c>
      <c r="L457" s="276">
        <v>11</v>
      </c>
      <c r="M457" s="277">
        <v>11</v>
      </c>
    </row>
    <row r="458" spans="1:13" ht="14.25">
      <c r="A458" s="278">
        <v>11220</v>
      </c>
      <c r="B458" s="279" t="s">
        <v>259</v>
      </c>
      <c r="C458" s="279" t="s">
        <v>974</v>
      </c>
      <c r="D458" s="279" t="s">
        <v>975</v>
      </c>
      <c r="E458" s="280">
        <v>1</v>
      </c>
      <c r="F458" s="280" t="s">
        <v>119</v>
      </c>
      <c r="G458" s="280">
        <v>0</v>
      </c>
      <c r="H458" s="280">
        <v>0</v>
      </c>
      <c r="I458" s="280">
        <v>3</v>
      </c>
      <c r="J458" s="280">
        <v>0</v>
      </c>
      <c r="K458" s="280">
        <v>3</v>
      </c>
      <c r="L458" s="280">
        <v>3</v>
      </c>
      <c r="M458" s="281">
        <v>3</v>
      </c>
    </row>
    <row r="459" spans="1:13" ht="14.25">
      <c r="A459" s="274">
        <v>11220</v>
      </c>
      <c r="B459" s="275" t="s">
        <v>259</v>
      </c>
      <c r="C459" s="275" t="s">
        <v>974</v>
      </c>
      <c r="D459" s="275" t="s">
        <v>975</v>
      </c>
      <c r="E459" s="276">
        <v>1</v>
      </c>
      <c r="F459" s="276" t="s">
        <v>122</v>
      </c>
      <c r="G459" s="276">
        <v>0</v>
      </c>
      <c r="H459" s="276">
        <v>11</v>
      </c>
      <c r="I459" s="276">
        <v>22</v>
      </c>
      <c r="J459" s="276">
        <v>0</v>
      </c>
      <c r="K459" s="276">
        <v>33</v>
      </c>
      <c r="L459" s="276">
        <v>22</v>
      </c>
      <c r="M459" s="277">
        <v>22</v>
      </c>
    </row>
    <row r="460" spans="1:13" ht="14.25">
      <c r="A460" s="278">
        <v>11220</v>
      </c>
      <c r="B460" s="279" t="s">
        <v>259</v>
      </c>
      <c r="C460" s="279" t="s">
        <v>976</v>
      </c>
      <c r="D460" s="279" t="s">
        <v>977</v>
      </c>
      <c r="E460" s="280">
        <v>1</v>
      </c>
      <c r="F460" s="280" t="s">
        <v>119</v>
      </c>
      <c r="G460" s="280">
        <v>0</v>
      </c>
      <c r="H460" s="280">
        <v>0</v>
      </c>
      <c r="I460" s="280">
        <v>6</v>
      </c>
      <c r="J460" s="280">
        <v>0</v>
      </c>
      <c r="K460" s="280">
        <v>6</v>
      </c>
      <c r="L460" s="280">
        <v>6</v>
      </c>
      <c r="M460" s="281">
        <v>6</v>
      </c>
    </row>
    <row r="461" spans="1:13" ht="14.25">
      <c r="A461" s="274">
        <v>11220</v>
      </c>
      <c r="B461" s="275" t="s">
        <v>259</v>
      </c>
      <c r="C461" s="275" t="s">
        <v>976</v>
      </c>
      <c r="D461" s="275" t="s">
        <v>977</v>
      </c>
      <c r="E461" s="276">
        <v>1</v>
      </c>
      <c r="F461" s="276" t="s">
        <v>122</v>
      </c>
      <c r="G461" s="276">
        <v>0</v>
      </c>
      <c r="H461" s="276">
        <v>13</v>
      </c>
      <c r="I461" s="276">
        <v>44</v>
      </c>
      <c r="J461" s="276">
        <v>0</v>
      </c>
      <c r="K461" s="276">
        <v>57</v>
      </c>
      <c r="L461" s="276">
        <v>44</v>
      </c>
      <c r="M461" s="277">
        <v>44</v>
      </c>
    </row>
    <row r="462" spans="1:13" ht="14.25">
      <c r="A462" s="278">
        <v>11220</v>
      </c>
      <c r="B462" s="279" t="s">
        <v>259</v>
      </c>
      <c r="C462" s="279" t="s">
        <v>978</v>
      </c>
      <c r="D462" s="279" t="s">
        <v>979</v>
      </c>
      <c r="E462" s="280">
        <v>1</v>
      </c>
      <c r="F462" s="280" t="s">
        <v>119</v>
      </c>
      <c r="G462" s="280">
        <v>0</v>
      </c>
      <c r="H462" s="280">
        <v>0</v>
      </c>
      <c r="I462" s="280">
        <v>6</v>
      </c>
      <c r="J462" s="280">
        <v>0</v>
      </c>
      <c r="K462" s="280">
        <v>6</v>
      </c>
      <c r="L462" s="280">
        <v>6</v>
      </c>
      <c r="M462" s="281">
        <v>6</v>
      </c>
    </row>
    <row r="463" spans="1:13" ht="14.25">
      <c r="A463" s="274">
        <v>11220</v>
      </c>
      <c r="B463" s="275" t="s">
        <v>259</v>
      </c>
      <c r="C463" s="275" t="s">
        <v>978</v>
      </c>
      <c r="D463" s="275" t="s">
        <v>979</v>
      </c>
      <c r="E463" s="276">
        <v>1</v>
      </c>
      <c r="F463" s="276" t="s">
        <v>122</v>
      </c>
      <c r="G463" s="276">
        <v>0</v>
      </c>
      <c r="H463" s="276">
        <v>4</v>
      </c>
      <c r="I463" s="276">
        <v>15</v>
      </c>
      <c r="J463" s="276">
        <v>0</v>
      </c>
      <c r="K463" s="276">
        <v>19</v>
      </c>
      <c r="L463" s="276">
        <v>15</v>
      </c>
      <c r="M463" s="277">
        <v>15</v>
      </c>
    </row>
    <row r="464" spans="1:13" ht="21">
      <c r="A464" s="278">
        <v>11220</v>
      </c>
      <c r="B464" s="279" t="s">
        <v>259</v>
      </c>
      <c r="C464" s="279" t="s">
        <v>980</v>
      </c>
      <c r="D464" s="279" t="s">
        <v>981</v>
      </c>
      <c r="E464" s="280">
        <v>1</v>
      </c>
      <c r="F464" s="280" t="s">
        <v>119</v>
      </c>
      <c r="G464" s="280">
        <v>0</v>
      </c>
      <c r="H464" s="280">
        <v>0</v>
      </c>
      <c r="I464" s="280">
        <v>7</v>
      </c>
      <c r="J464" s="280">
        <v>0</v>
      </c>
      <c r="K464" s="280">
        <v>7</v>
      </c>
      <c r="L464" s="280">
        <v>7</v>
      </c>
      <c r="M464" s="281">
        <v>7</v>
      </c>
    </row>
    <row r="465" spans="1:13" ht="21">
      <c r="A465" s="274">
        <v>11220</v>
      </c>
      <c r="B465" s="275" t="s">
        <v>259</v>
      </c>
      <c r="C465" s="275" t="s">
        <v>980</v>
      </c>
      <c r="D465" s="275" t="s">
        <v>981</v>
      </c>
      <c r="E465" s="276">
        <v>1</v>
      </c>
      <c r="F465" s="276" t="s">
        <v>122</v>
      </c>
      <c r="G465" s="276">
        <v>0</v>
      </c>
      <c r="H465" s="276">
        <v>10</v>
      </c>
      <c r="I465" s="276">
        <v>17</v>
      </c>
      <c r="J465" s="276">
        <v>0</v>
      </c>
      <c r="K465" s="276">
        <v>27</v>
      </c>
      <c r="L465" s="276">
        <v>17</v>
      </c>
      <c r="M465" s="277">
        <v>17</v>
      </c>
    </row>
    <row r="466" spans="1:13" ht="14.25">
      <c r="A466" s="278">
        <v>11220</v>
      </c>
      <c r="B466" s="279" t="s">
        <v>259</v>
      </c>
      <c r="C466" s="279" t="s">
        <v>982</v>
      </c>
      <c r="D466" s="279" t="s">
        <v>983</v>
      </c>
      <c r="E466" s="280">
        <v>1</v>
      </c>
      <c r="F466" s="280" t="s">
        <v>119</v>
      </c>
      <c r="G466" s="280">
        <v>0</v>
      </c>
      <c r="H466" s="280">
        <v>0</v>
      </c>
      <c r="I466" s="280">
        <v>3</v>
      </c>
      <c r="J466" s="280">
        <v>0</v>
      </c>
      <c r="K466" s="280">
        <v>3</v>
      </c>
      <c r="L466" s="280">
        <v>3</v>
      </c>
      <c r="M466" s="281">
        <v>3</v>
      </c>
    </row>
    <row r="467" spans="1:13" ht="14.25">
      <c r="A467" s="274">
        <v>11220</v>
      </c>
      <c r="B467" s="275" t="s">
        <v>259</v>
      </c>
      <c r="C467" s="275" t="s">
        <v>982</v>
      </c>
      <c r="D467" s="275" t="s">
        <v>983</v>
      </c>
      <c r="E467" s="276">
        <v>1</v>
      </c>
      <c r="F467" s="276" t="s">
        <v>122</v>
      </c>
      <c r="G467" s="276">
        <v>0</v>
      </c>
      <c r="H467" s="276">
        <v>10</v>
      </c>
      <c r="I467" s="276">
        <v>15</v>
      </c>
      <c r="J467" s="276">
        <v>0</v>
      </c>
      <c r="K467" s="276">
        <v>25</v>
      </c>
      <c r="L467" s="276">
        <v>15</v>
      </c>
      <c r="M467" s="277">
        <v>15</v>
      </c>
    </row>
    <row r="468" spans="1:13" ht="14.25">
      <c r="A468" s="278">
        <v>11220</v>
      </c>
      <c r="B468" s="279" t="s">
        <v>259</v>
      </c>
      <c r="C468" s="279" t="s">
        <v>984</v>
      </c>
      <c r="D468" s="279" t="s">
        <v>985</v>
      </c>
      <c r="E468" s="280">
        <v>1</v>
      </c>
      <c r="F468" s="280" t="s">
        <v>119</v>
      </c>
      <c r="G468" s="280">
        <v>0</v>
      </c>
      <c r="H468" s="280">
        <v>0</v>
      </c>
      <c r="I468" s="280">
        <v>2</v>
      </c>
      <c r="J468" s="280">
        <v>0</v>
      </c>
      <c r="K468" s="280">
        <v>2</v>
      </c>
      <c r="L468" s="280">
        <v>2</v>
      </c>
      <c r="M468" s="281">
        <v>2</v>
      </c>
    </row>
    <row r="469" spans="1:13" ht="14.25">
      <c r="A469" s="274">
        <v>11220</v>
      </c>
      <c r="B469" s="275" t="s">
        <v>259</v>
      </c>
      <c r="C469" s="275" t="s">
        <v>984</v>
      </c>
      <c r="D469" s="275" t="s">
        <v>985</v>
      </c>
      <c r="E469" s="276">
        <v>1</v>
      </c>
      <c r="F469" s="276" t="s">
        <v>122</v>
      </c>
      <c r="G469" s="276">
        <v>0</v>
      </c>
      <c r="H469" s="276">
        <v>1</v>
      </c>
      <c r="I469" s="276">
        <v>10</v>
      </c>
      <c r="J469" s="276">
        <v>0</v>
      </c>
      <c r="K469" s="276">
        <v>11</v>
      </c>
      <c r="L469" s="276">
        <v>10</v>
      </c>
      <c r="M469" s="277">
        <v>10</v>
      </c>
    </row>
    <row r="470" spans="1:13" ht="21">
      <c r="A470" s="278">
        <v>11220</v>
      </c>
      <c r="B470" s="279" t="s">
        <v>259</v>
      </c>
      <c r="C470" s="279" t="s">
        <v>986</v>
      </c>
      <c r="D470" s="279" t="s">
        <v>987</v>
      </c>
      <c r="E470" s="280">
        <v>1</v>
      </c>
      <c r="F470" s="280" t="s">
        <v>119</v>
      </c>
      <c r="G470" s="280">
        <v>0</v>
      </c>
      <c r="H470" s="280">
        <v>0</v>
      </c>
      <c r="I470" s="280">
        <v>8</v>
      </c>
      <c r="J470" s="280">
        <v>0</v>
      </c>
      <c r="K470" s="280">
        <v>8</v>
      </c>
      <c r="L470" s="280">
        <v>8</v>
      </c>
      <c r="M470" s="281">
        <v>8</v>
      </c>
    </row>
    <row r="471" spans="1:13" ht="21">
      <c r="A471" s="274">
        <v>11220</v>
      </c>
      <c r="B471" s="275" t="s">
        <v>259</v>
      </c>
      <c r="C471" s="275" t="s">
        <v>986</v>
      </c>
      <c r="D471" s="275" t="s">
        <v>987</v>
      </c>
      <c r="E471" s="276">
        <v>1</v>
      </c>
      <c r="F471" s="276" t="s">
        <v>122</v>
      </c>
      <c r="G471" s="276">
        <v>0</v>
      </c>
      <c r="H471" s="276">
        <v>6</v>
      </c>
      <c r="I471" s="276">
        <v>17</v>
      </c>
      <c r="J471" s="276">
        <v>0</v>
      </c>
      <c r="K471" s="276">
        <v>23</v>
      </c>
      <c r="L471" s="276">
        <v>17</v>
      </c>
      <c r="M471" s="277">
        <v>17</v>
      </c>
    </row>
    <row r="472" spans="1:13" ht="14.25">
      <c r="A472" s="278">
        <v>11220</v>
      </c>
      <c r="B472" s="279" t="s">
        <v>259</v>
      </c>
      <c r="C472" s="279" t="s">
        <v>988</v>
      </c>
      <c r="D472" s="279" t="s">
        <v>989</v>
      </c>
      <c r="E472" s="280">
        <v>1</v>
      </c>
      <c r="F472" s="280" t="s">
        <v>119</v>
      </c>
      <c r="G472" s="280">
        <v>0</v>
      </c>
      <c r="H472" s="280">
        <v>0</v>
      </c>
      <c r="I472" s="280">
        <v>1</v>
      </c>
      <c r="J472" s="280">
        <v>0</v>
      </c>
      <c r="K472" s="280">
        <v>1</v>
      </c>
      <c r="L472" s="280">
        <v>1</v>
      </c>
      <c r="M472" s="281">
        <v>1</v>
      </c>
    </row>
    <row r="473" spans="1:13" ht="14.25">
      <c r="A473" s="274">
        <v>11220</v>
      </c>
      <c r="B473" s="275" t="s">
        <v>259</v>
      </c>
      <c r="C473" s="275" t="s">
        <v>988</v>
      </c>
      <c r="D473" s="275" t="s">
        <v>989</v>
      </c>
      <c r="E473" s="276">
        <v>1</v>
      </c>
      <c r="F473" s="276" t="s">
        <v>122</v>
      </c>
      <c r="G473" s="276">
        <v>0</v>
      </c>
      <c r="H473" s="276">
        <v>6</v>
      </c>
      <c r="I473" s="276">
        <v>16</v>
      </c>
      <c r="J473" s="276">
        <v>1</v>
      </c>
      <c r="K473" s="276">
        <v>23</v>
      </c>
      <c r="L473" s="276">
        <v>16.5</v>
      </c>
      <c r="M473" s="277">
        <v>16.5</v>
      </c>
    </row>
    <row r="474" spans="1:13" ht="14.25">
      <c r="A474" s="278">
        <v>11220</v>
      </c>
      <c r="B474" s="279" t="s">
        <v>259</v>
      </c>
      <c r="C474" s="279" t="s">
        <v>990</v>
      </c>
      <c r="D474" s="279" t="s">
        <v>991</v>
      </c>
      <c r="E474" s="280">
        <v>1</v>
      </c>
      <c r="F474" s="280" t="s">
        <v>119</v>
      </c>
      <c r="G474" s="280">
        <v>0</v>
      </c>
      <c r="H474" s="280">
        <v>0</v>
      </c>
      <c r="I474" s="280">
        <v>3</v>
      </c>
      <c r="J474" s="280">
        <v>0</v>
      </c>
      <c r="K474" s="280">
        <v>3</v>
      </c>
      <c r="L474" s="280">
        <v>3</v>
      </c>
      <c r="M474" s="281">
        <v>3</v>
      </c>
    </row>
    <row r="475" spans="1:13" ht="14.25">
      <c r="A475" s="274">
        <v>11220</v>
      </c>
      <c r="B475" s="275" t="s">
        <v>259</v>
      </c>
      <c r="C475" s="275" t="s">
        <v>990</v>
      </c>
      <c r="D475" s="275" t="s">
        <v>991</v>
      </c>
      <c r="E475" s="276">
        <v>1</v>
      </c>
      <c r="F475" s="276" t="s">
        <v>122</v>
      </c>
      <c r="G475" s="276">
        <v>0</v>
      </c>
      <c r="H475" s="276">
        <v>3</v>
      </c>
      <c r="I475" s="276">
        <v>9</v>
      </c>
      <c r="J475" s="276">
        <v>0</v>
      </c>
      <c r="K475" s="276">
        <v>12</v>
      </c>
      <c r="L475" s="276">
        <v>9</v>
      </c>
      <c r="M475" s="277">
        <v>9</v>
      </c>
    </row>
    <row r="476" spans="1:13" ht="14.25">
      <c r="A476" s="278">
        <v>11220</v>
      </c>
      <c r="B476" s="279" t="s">
        <v>259</v>
      </c>
      <c r="C476" s="279" t="s">
        <v>43</v>
      </c>
      <c r="D476" s="279" t="s">
        <v>44</v>
      </c>
      <c r="E476" s="280">
        <v>1</v>
      </c>
      <c r="F476" s="280" t="s">
        <v>119</v>
      </c>
      <c r="G476" s="280">
        <v>0</v>
      </c>
      <c r="H476" s="280">
        <v>0</v>
      </c>
      <c r="I476" s="280">
        <v>1</v>
      </c>
      <c r="J476" s="280">
        <v>0</v>
      </c>
      <c r="K476" s="280">
        <v>1</v>
      </c>
      <c r="L476" s="280">
        <v>1</v>
      </c>
      <c r="M476" s="281">
        <v>1</v>
      </c>
    </row>
    <row r="477" spans="1:13" ht="14.25">
      <c r="A477" s="274">
        <v>11220</v>
      </c>
      <c r="B477" s="275" t="s">
        <v>259</v>
      </c>
      <c r="C477" s="275" t="s">
        <v>43</v>
      </c>
      <c r="D477" s="275" t="s">
        <v>44</v>
      </c>
      <c r="E477" s="276">
        <v>1</v>
      </c>
      <c r="F477" s="276" t="s">
        <v>122</v>
      </c>
      <c r="G477" s="276">
        <v>0</v>
      </c>
      <c r="H477" s="276">
        <v>1</v>
      </c>
      <c r="I477" s="276">
        <v>4</v>
      </c>
      <c r="J477" s="276">
        <v>1</v>
      </c>
      <c r="K477" s="276">
        <v>6</v>
      </c>
      <c r="L477" s="276">
        <v>4.5</v>
      </c>
      <c r="M477" s="277">
        <v>4.5</v>
      </c>
    </row>
    <row r="478" spans="1:13" ht="9.75">
      <c r="A478" s="282">
        <v>11220</v>
      </c>
      <c r="B478" s="283" t="s">
        <v>163</v>
      </c>
      <c r="C478" s="283"/>
      <c r="D478" s="283"/>
      <c r="E478" s="283"/>
      <c r="F478" s="284" t="s">
        <v>132</v>
      </c>
      <c r="G478" s="284">
        <v>0</v>
      </c>
      <c r="H478" s="284">
        <v>0</v>
      </c>
      <c r="I478" s="284">
        <v>0</v>
      </c>
      <c r="J478" s="284">
        <v>0</v>
      </c>
      <c r="K478" s="284">
        <v>0</v>
      </c>
      <c r="L478" s="284"/>
      <c r="M478" s="1052"/>
    </row>
    <row r="479" spans="1:13" ht="9.75">
      <c r="A479" s="282">
        <v>11220</v>
      </c>
      <c r="B479" s="283" t="s">
        <v>163</v>
      </c>
      <c r="C479" s="283"/>
      <c r="D479" s="283"/>
      <c r="E479" s="283"/>
      <c r="F479" s="284" t="s">
        <v>109</v>
      </c>
      <c r="G479" s="284">
        <v>0</v>
      </c>
      <c r="H479" s="284">
        <v>0</v>
      </c>
      <c r="I479" s="284">
        <v>0</v>
      </c>
      <c r="J479" s="284">
        <v>0</v>
      </c>
      <c r="K479" s="284">
        <v>0</v>
      </c>
      <c r="L479" s="284"/>
      <c r="M479" s="1052"/>
    </row>
    <row r="480" spans="1:13" ht="9.75">
      <c r="A480" s="282">
        <v>11220</v>
      </c>
      <c r="B480" s="283" t="s">
        <v>163</v>
      </c>
      <c r="C480" s="283"/>
      <c r="D480" s="283"/>
      <c r="E480" s="283"/>
      <c r="F480" s="284" t="s">
        <v>110</v>
      </c>
      <c r="G480" s="284">
        <v>410</v>
      </c>
      <c r="H480" s="284">
        <v>27</v>
      </c>
      <c r="I480" s="284">
        <v>168</v>
      </c>
      <c r="J480" s="284">
        <v>7</v>
      </c>
      <c r="K480" s="284">
        <v>612</v>
      </c>
      <c r="L480" s="284"/>
      <c r="M480" s="1052"/>
    </row>
    <row r="481" spans="1:13" ht="9.75">
      <c r="A481" s="282">
        <v>11220</v>
      </c>
      <c r="B481" s="283" t="s">
        <v>163</v>
      </c>
      <c r="C481" s="283"/>
      <c r="D481" s="283"/>
      <c r="E481" s="283"/>
      <c r="F481" s="284" t="s">
        <v>113</v>
      </c>
      <c r="G481" s="284">
        <v>0</v>
      </c>
      <c r="H481" s="284">
        <v>601</v>
      </c>
      <c r="I481" s="284">
        <v>2321</v>
      </c>
      <c r="J481" s="284">
        <v>38</v>
      </c>
      <c r="K481" s="284">
        <v>2960</v>
      </c>
      <c r="L481" s="284"/>
      <c r="M481" s="1052"/>
    </row>
    <row r="482" spans="1:13" ht="9.75">
      <c r="A482" s="282">
        <v>11220</v>
      </c>
      <c r="B482" s="283" t="s">
        <v>163</v>
      </c>
      <c r="C482" s="283"/>
      <c r="D482" s="283"/>
      <c r="E482" s="283"/>
      <c r="F482" s="284" t="s">
        <v>116</v>
      </c>
      <c r="G482" s="284">
        <v>0</v>
      </c>
      <c r="H482" s="284">
        <v>0</v>
      </c>
      <c r="I482" s="284">
        <v>0</v>
      </c>
      <c r="J482" s="284">
        <v>0</v>
      </c>
      <c r="K482" s="284">
        <v>0</v>
      </c>
      <c r="L482" s="284"/>
      <c r="M482" s="1052"/>
    </row>
    <row r="483" spans="1:13" ht="9.75">
      <c r="A483" s="282">
        <v>11220</v>
      </c>
      <c r="B483" s="283" t="s">
        <v>163</v>
      </c>
      <c r="C483" s="283"/>
      <c r="D483" s="283"/>
      <c r="E483" s="283"/>
      <c r="F483" s="284" t="s">
        <v>114</v>
      </c>
      <c r="G483" s="284">
        <v>0</v>
      </c>
      <c r="H483" s="284">
        <v>0</v>
      </c>
      <c r="I483" s="284">
        <v>0</v>
      </c>
      <c r="J483" s="284">
        <v>0</v>
      </c>
      <c r="K483" s="284">
        <v>0</v>
      </c>
      <c r="L483" s="284"/>
      <c r="M483" s="1052"/>
    </row>
    <row r="484" spans="1:13" ht="9.75">
      <c r="A484" s="282">
        <v>11220</v>
      </c>
      <c r="B484" s="283" t="s">
        <v>163</v>
      </c>
      <c r="C484" s="283"/>
      <c r="D484" s="283"/>
      <c r="E484" s="283"/>
      <c r="F484" s="284" t="s">
        <v>119</v>
      </c>
      <c r="G484" s="284">
        <v>0</v>
      </c>
      <c r="H484" s="284">
        <v>2</v>
      </c>
      <c r="I484" s="284">
        <v>64</v>
      </c>
      <c r="J484" s="284">
        <v>0</v>
      </c>
      <c r="K484" s="284">
        <v>66</v>
      </c>
      <c r="L484" s="284"/>
      <c r="M484" s="1052"/>
    </row>
    <row r="485" spans="1:13" ht="9.75">
      <c r="A485" s="282">
        <v>11220</v>
      </c>
      <c r="B485" s="283" t="s">
        <v>163</v>
      </c>
      <c r="C485" s="283"/>
      <c r="D485" s="283"/>
      <c r="E485" s="283"/>
      <c r="F485" s="284" t="s">
        <v>122</v>
      </c>
      <c r="G485" s="284">
        <v>0</v>
      </c>
      <c r="H485" s="284">
        <v>76</v>
      </c>
      <c r="I485" s="284">
        <v>237</v>
      </c>
      <c r="J485" s="284">
        <v>3</v>
      </c>
      <c r="K485" s="284">
        <v>316</v>
      </c>
      <c r="L485" s="284"/>
      <c r="M485" s="1052"/>
    </row>
    <row r="486" spans="1:13" ht="14.25">
      <c r="A486" s="278">
        <v>11230</v>
      </c>
      <c r="B486" s="279" t="s">
        <v>262</v>
      </c>
      <c r="C486" s="279" t="s">
        <v>992</v>
      </c>
      <c r="D486" s="279" t="s">
        <v>993</v>
      </c>
      <c r="E486" s="280">
        <v>1</v>
      </c>
      <c r="F486" s="280" t="s">
        <v>132</v>
      </c>
      <c r="G486" s="280">
        <v>69</v>
      </c>
      <c r="H486" s="280">
        <v>1</v>
      </c>
      <c r="I486" s="280">
        <v>42</v>
      </c>
      <c r="J486" s="280">
        <v>1</v>
      </c>
      <c r="K486" s="280">
        <v>113</v>
      </c>
      <c r="L486" s="280">
        <v>111.5</v>
      </c>
      <c r="M486" s="281">
        <v>111.5</v>
      </c>
    </row>
    <row r="487" spans="1:13" ht="14.25">
      <c r="A487" s="274">
        <v>11230</v>
      </c>
      <c r="B487" s="275" t="s">
        <v>262</v>
      </c>
      <c r="C487" s="275" t="s">
        <v>994</v>
      </c>
      <c r="D487" s="275" t="s">
        <v>995</v>
      </c>
      <c r="E487" s="276">
        <v>1</v>
      </c>
      <c r="F487" s="276" t="s">
        <v>132</v>
      </c>
      <c r="G487" s="276">
        <v>32</v>
      </c>
      <c r="H487" s="276">
        <v>1</v>
      </c>
      <c r="I487" s="276">
        <v>11</v>
      </c>
      <c r="J487" s="276">
        <v>0</v>
      </c>
      <c r="K487" s="276">
        <v>44</v>
      </c>
      <c r="L487" s="276">
        <v>43</v>
      </c>
      <c r="M487" s="277">
        <v>43</v>
      </c>
    </row>
    <row r="488" spans="1:13" ht="14.25">
      <c r="A488" s="278">
        <v>11230</v>
      </c>
      <c r="B488" s="279" t="s">
        <v>262</v>
      </c>
      <c r="C488" s="279" t="s">
        <v>996</v>
      </c>
      <c r="D488" s="279" t="s">
        <v>997</v>
      </c>
      <c r="E488" s="280">
        <v>1</v>
      </c>
      <c r="F488" s="280" t="s">
        <v>132</v>
      </c>
      <c r="G488" s="280">
        <v>115</v>
      </c>
      <c r="H488" s="280">
        <v>7</v>
      </c>
      <c r="I488" s="280">
        <v>57</v>
      </c>
      <c r="J488" s="280">
        <v>8</v>
      </c>
      <c r="K488" s="280">
        <v>187</v>
      </c>
      <c r="L488" s="280">
        <v>176</v>
      </c>
      <c r="M488" s="281">
        <v>176</v>
      </c>
    </row>
    <row r="489" spans="1:13" ht="14.25">
      <c r="A489" s="274">
        <v>11230</v>
      </c>
      <c r="B489" s="275" t="s">
        <v>262</v>
      </c>
      <c r="C489" s="275" t="s">
        <v>998</v>
      </c>
      <c r="D489" s="275" t="s">
        <v>999</v>
      </c>
      <c r="E489" s="276">
        <v>1</v>
      </c>
      <c r="F489" s="276" t="s">
        <v>132</v>
      </c>
      <c r="G489" s="276">
        <v>11</v>
      </c>
      <c r="H489" s="276">
        <v>0</v>
      </c>
      <c r="I489" s="276">
        <v>2</v>
      </c>
      <c r="J489" s="276">
        <v>0</v>
      </c>
      <c r="K489" s="276">
        <v>13</v>
      </c>
      <c r="L489" s="276">
        <v>13</v>
      </c>
      <c r="M489" s="277">
        <v>13</v>
      </c>
    </row>
    <row r="490" spans="1:13" ht="14.25">
      <c r="A490" s="278">
        <v>11230</v>
      </c>
      <c r="B490" s="279" t="s">
        <v>262</v>
      </c>
      <c r="C490" s="279" t="s">
        <v>1000</v>
      </c>
      <c r="D490" s="279" t="s">
        <v>1001</v>
      </c>
      <c r="E490" s="280">
        <v>1</v>
      </c>
      <c r="F490" s="280" t="s">
        <v>132</v>
      </c>
      <c r="G490" s="280">
        <v>49</v>
      </c>
      <c r="H490" s="280">
        <v>0</v>
      </c>
      <c r="I490" s="280">
        <v>10</v>
      </c>
      <c r="J490" s="280">
        <v>1</v>
      </c>
      <c r="K490" s="280">
        <v>60</v>
      </c>
      <c r="L490" s="280">
        <v>59.5</v>
      </c>
      <c r="M490" s="281">
        <v>59.5</v>
      </c>
    </row>
    <row r="491" spans="1:13" ht="14.25">
      <c r="A491" s="274">
        <v>11230</v>
      </c>
      <c r="B491" s="275" t="s">
        <v>262</v>
      </c>
      <c r="C491" s="275" t="s">
        <v>1002</v>
      </c>
      <c r="D491" s="275" t="s">
        <v>54</v>
      </c>
      <c r="E491" s="276">
        <v>1</v>
      </c>
      <c r="F491" s="276" t="s">
        <v>132</v>
      </c>
      <c r="G491" s="276">
        <v>46</v>
      </c>
      <c r="H491" s="276">
        <v>0</v>
      </c>
      <c r="I491" s="276">
        <v>22</v>
      </c>
      <c r="J491" s="276">
        <v>0</v>
      </c>
      <c r="K491" s="276">
        <v>68</v>
      </c>
      <c r="L491" s="276">
        <v>68</v>
      </c>
      <c r="M491" s="277">
        <v>68</v>
      </c>
    </row>
    <row r="492" spans="1:13" ht="14.25">
      <c r="A492" s="278">
        <v>11230</v>
      </c>
      <c r="B492" s="279" t="s">
        <v>262</v>
      </c>
      <c r="C492" s="279" t="s">
        <v>1003</v>
      </c>
      <c r="D492" s="279" t="s">
        <v>1004</v>
      </c>
      <c r="E492" s="280">
        <v>1.2</v>
      </c>
      <c r="F492" s="280" t="s">
        <v>132</v>
      </c>
      <c r="G492" s="280">
        <v>144</v>
      </c>
      <c r="H492" s="280">
        <v>1</v>
      </c>
      <c r="I492" s="280">
        <v>71</v>
      </c>
      <c r="J492" s="280">
        <v>0</v>
      </c>
      <c r="K492" s="280">
        <v>216</v>
      </c>
      <c r="L492" s="280">
        <v>215</v>
      </c>
      <c r="M492" s="281">
        <v>258</v>
      </c>
    </row>
    <row r="493" spans="1:13" ht="14.25">
      <c r="A493" s="274">
        <v>11230</v>
      </c>
      <c r="B493" s="275" t="s">
        <v>262</v>
      </c>
      <c r="C493" s="275" t="s">
        <v>46</v>
      </c>
      <c r="D493" s="275" t="s">
        <v>47</v>
      </c>
      <c r="E493" s="276">
        <v>1</v>
      </c>
      <c r="F493" s="276" t="s">
        <v>132</v>
      </c>
      <c r="G493" s="276">
        <v>93</v>
      </c>
      <c r="H493" s="276">
        <v>3</v>
      </c>
      <c r="I493" s="276">
        <v>29</v>
      </c>
      <c r="J493" s="276">
        <v>1</v>
      </c>
      <c r="K493" s="276">
        <v>126</v>
      </c>
      <c r="L493" s="276">
        <v>122.5</v>
      </c>
      <c r="M493" s="277">
        <v>122.5</v>
      </c>
    </row>
    <row r="494" spans="1:13" ht="14.25">
      <c r="A494" s="278">
        <v>11230</v>
      </c>
      <c r="B494" s="279" t="s">
        <v>262</v>
      </c>
      <c r="C494" s="279" t="s">
        <v>46</v>
      </c>
      <c r="D494" s="279" t="s">
        <v>47</v>
      </c>
      <c r="E494" s="280">
        <v>1</v>
      </c>
      <c r="F494" s="280" t="s">
        <v>109</v>
      </c>
      <c r="G494" s="280">
        <v>0</v>
      </c>
      <c r="H494" s="280">
        <v>19</v>
      </c>
      <c r="I494" s="280">
        <v>184</v>
      </c>
      <c r="J494" s="280">
        <v>1</v>
      </c>
      <c r="K494" s="280">
        <v>204</v>
      </c>
      <c r="L494" s="280">
        <v>184.5</v>
      </c>
      <c r="M494" s="281">
        <v>184.5</v>
      </c>
    </row>
    <row r="495" spans="1:13" ht="14.25">
      <c r="A495" s="274">
        <v>11230</v>
      </c>
      <c r="B495" s="275" t="s">
        <v>262</v>
      </c>
      <c r="C495" s="275" t="s">
        <v>227</v>
      </c>
      <c r="D495" s="275" t="s">
        <v>50</v>
      </c>
      <c r="E495" s="276">
        <v>1</v>
      </c>
      <c r="F495" s="276" t="s">
        <v>109</v>
      </c>
      <c r="G495" s="276">
        <v>0</v>
      </c>
      <c r="H495" s="276">
        <v>30</v>
      </c>
      <c r="I495" s="276">
        <v>251</v>
      </c>
      <c r="J495" s="276">
        <v>1</v>
      </c>
      <c r="K495" s="276">
        <v>282</v>
      </c>
      <c r="L495" s="276">
        <v>251.5</v>
      </c>
      <c r="M495" s="277">
        <v>251.5</v>
      </c>
    </row>
    <row r="496" spans="1:13" ht="14.25">
      <c r="A496" s="278">
        <v>11230</v>
      </c>
      <c r="B496" s="279" t="s">
        <v>262</v>
      </c>
      <c r="C496" s="279" t="s">
        <v>263</v>
      </c>
      <c r="D496" s="279" t="s">
        <v>52</v>
      </c>
      <c r="E496" s="280">
        <v>1</v>
      </c>
      <c r="F496" s="280" t="s">
        <v>109</v>
      </c>
      <c r="G496" s="280">
        <v>0</v>
      </c>
      <c r="H496" s="280">
        <v>22</v>
      </c>
      <c r="I496" s="280">
        <v>282</v>
      </c>
      <c r="J496" s="280">
        <v>7</v>
      </c>
      <c r="K496" s="280">
        <v>311</v>
      </c>
      <c r="L496" s="280">
        <v>285.5</v>
      </c>
      <c r="M496" s="281">
        <v>285.5</v>
      </c>
    </row>
    <row r="497" spans="1:13" ht="14.25">
      <c r="A497" s="274">
        <v>11230</v>
      </c>
      <c r="B497" s="275" t="s">
        <v>262</v>
      </c>
      <c r="C497" s="275" t="s">
        <v>228</v>
      </c>
      <c r="D497" s="275" t="s">
        <v>54</v>
      </c>
      <c r="E497" s="276">
        <v>1</v>
      </c>
      <c r="F497" s="276" t="s">
        <v>109</v>
      </c>
      <c r="G497" s="276">
        <v>0</v>
      </c>
      <c r="H497" s="276">
        <v>18</v>
      </c>
      <c r="I497" s="276">
        <v>166</v>
      </c>
      <c r="J497" s="276">
        <v>3</v>
      </c>
      <c r="K497" s="276">
        <v>187</v>
      </c>
      <c r="L497" s="276">
        <v>167.5</v>
      </c>
      <c r="M497" s="277">
        <v>167.5</v>
      </c>
    </row>
    <row r="498" spans="1:13" ht="14.25">
      <c r="A498" s="278">
        <v>11230</v>
      </c>
      <c r="B498" s="279" t="s">
        <v>262</v>
      </c>
      <c r="C498" s="279" t="s">
        <v>231</v>
      </c>
      <c r="D498" s="279" t="s">
        <v>39</v>
      </c>
      <c r="E498" s="280">
        <v>1</v>
      </c>
      <c r="F498" s="280" t="s">
        <v>132</v>
      </c>
      <c r="G498" s="280">
        <v>0</v>
      </c>
      <c r="H498" s="280">
        <v>0</v>
      </c>
      <c r="I498" s="280">
        <v>1</v>
      </c>
      <c r="J498" s="280">
        <v>0</v>
      </c>
      <c r="K498" s="280">
        <v>1</v>
      </c>
      <c r="L498" s="280">
        <v>1</v>
      </c>
      <c r="M498" s="281">
        <v>1</v>
      </c>
    </row>
    <row r="499" spans="1:13" ht="14.25">
      <c r="A499" s="274">
        <v>11230</v>
      </c>
      <c r="B499" s="275" t="s">
        <v>262</v>
      </c>
      <c r="C499" s="275" t="s">
        <v>231</v>
      </c>
      <c r="D499" s="275" t="s">
        <v>39</v>
      </c>
      <c r="E499" s="276">
        <v>1</v>
      </c>
      <c r="F499" s="276" t="s">
        <v>109</v>
      </c>
      <c r="G499" s="276">
        <v>0</v>
      </c>
      <c r="H499" s="276">
        <v>10</v>
      </c>
      <c r="I499" s="276">
        <v>31</v>
      </c>
      <c r="J499" s="276">
        <v>2</v>
      </c>
      <c r="K499" s="276">
        <v>43</v>
      </c>
      <c r="L499" s="276">
        <v>32</v>
      </c>
      <c r="M499" s="277">
        <v>32</v>
      </c>
    </row>
    <row r="500" spans="1:13" ht="14.25">
      <c r="A500" s="278">
        <v>11230</v>
      </c>
      <c r="B500" s="279" t="s">
        <v>262</v>
      </c>
      <c r="C500" s="279" t="s">
        <v>264</v>
      </c>
      <c r="D500" s="279" t="s">
        <v>265</v>
      </c>
      <c r="E500" s="280">
        <v>1.2</v>
      </c>
      <c r="F500" s="280" t="s">
        <v>132</v>
      </c>
      <c r="G500" s="280">
        <v>0</v>
      </c>
      <c r="H500" s="280">
        <v>0</v>
      </c>
      <c r="I500" s="280">
        <v>1</v>
      </c>
      <c r="J500" s="280">
        <v>0</v>
      </c>
      <c r="K500" s="280">
        <v>1</v>
      </c>
      <c r="L500" s="280">
        <v>1</v>
      </c>
      <c r="M500" s="281">
        <v>1.2</v>
      </c>
    </row>
    <row r="501" spans="1:13" ht="14.25">
      <c r="A501" s="274">
        <v>11230</v>
      </c>
      <c r="B501" s="275" t="s">
        <v>262</v>
      </c>
      <c r="C501" s="275" t="s">
        <v>264</v>
      </c>
      <c r="D501" s="275" t="s">
        <v>265</v>
      </c>
      <c r="E501" s="276">
        <v>1.2</v>
      </c>
      <c r="F501" s="276" t="s">
        <v>109</v>
      </c>
      <c r="G501" s="276">
        <v>0</v>
      </c>
      <c r="H501" s="276">
        <v>51</v>
      </c>
      <c r="I501" s="276">
        <v>371</v>
      </c>
      <c r="J501" s="276">
        <v>13</v>
      </c>
      <c r="K501" s="276">
        <v>435</v>
      </c>
      <c r="L501" s="276">
        <v>377.5</v>
      </c>
      <c r="M501" s="277">
        <v>453</v>
      </c>
    </row>
    <row r="502" spans="1:13" ht="14.25">
      <c r="A502" s="278">
        <v>11230</v>
      </c>
      <c r="B502" s="279" t="s">
        <v>262</v>
      </c>
      <c r="C502" s="279" t="s">
        <v>1005</v>
      </c>
      <c r="D502" s="279" t="s">
        <v>1006</v>
      </c>
      <c r="E502" s="280">
        <v>1</v>
      </c>
      <c r="F502" s="280" t="s">
        <v>116</v>
      </c>
      <c r="G502" s="280">
        <v>0</v>
      </c>
      <c r="H502" s="280">
        <v>0</v>
      </c>
      <c r="I502" s="280">
        <v>11</v>
      </c>
      <c r="J502" s="280">
        <v>0</v>
      </c>
      <c r="K502" s="280">
        <v>11</v>
      </c>
      <c r="L502" s="280">
        <v>11</v>
      </c>
      <c r="M502" s="281">
        <v>11</v>
      </c>
    </row>
    <row r="503" spans="1:13" ht="14.25">
      <c r="A503" s="274">
        <v>11230</v>
      </c>
      <c r="B503" s="275" t="s">
        <v>262</v>
      </c>
      <c r="C503" s="275" t="s">
        <v>1007</v>
      </c>
      <c r="D503" s="275" t="s">
        <v>50</v>
      </c>
      <c r="E503" s="276">
        <v>1</v>
      </c>
      <c r="F503" s="276" t="s">
        <v>116</v>
      </c>
      <c r="G503" s="276">
        <v>0</v>
      </c>
      <c r="H503" s="276">
        <v>2</v>
      </c>
      <c r="I503" s="276">
        <v>31</v>
      </c>
      <c r="J503" s="276">
        <v>0</v>
      </c>
      <c r="K503" s="276">
        <v>33</v>
      </c>
      <c r="L503" s="276">
        <v>31</v>
      </c>
      <c r="M503" s="277">
        <v>31</v>
      </c>
    </row>
    <row r="504" spans="1:13" ht="14.25">
      <c r="A504" s="278">
        <v>11230</v>
      </c>
      <c r="B504" s="279" t="s">
        <v>262</v>
      </c>
      <c r="C504" s="279" t="s">
        <v>1008</v>
      </c>
      <c r="D504" s="279" t="s">
        <v>997</v>
      </c>
      <c r="E504" s="280">
        <v>1</v>
      </c>
      <c r="F504" s="280" t="s">
        <v>116</v>
      </c>
      <c r="G504" s="280">
        <v>0</v>
      </c>
      <c r="H504" s="280">
        <v>1</v>
      </c>
      <c r="I504" s="280">
        <v>54</v>
      </c>
      <c r="J504" s="280">
        <v>0</v>
      </c>
      <c r="K504" s="280">
        <v>55</v>
      </c>
      <c r="L504" s="280">
        <v>54</v>
      </c>
      <c r="M504" s="281">
        <v>54</v>
      </c>
    </row>
    <row r="505" spans="1:13" ht="21">
      <c r="A505" s="274">
        <v>11230</v>
      </c>
      <c r="B505" s="275" t="s">
        <v>262</v>
      </c>
      <c r="C505" s="275" t="s">
        <v>1009</v>
      </c>
      <c r="D505" s="275" t="s">
        <v>1010</v>
      </c>
      <c r="E505" s="276">
        <v>1</v>
      </c>
      <c r="F505" s="276" t="s">
        <v>116</v>
      </c>
      <c r="G505" s="276">
        <v>0</v>
      </c>
      <c r="H505" s="276">
        <v>0</v>
      </c>
      <c r="I505" s="276">
        <v>9</v>
      </c>
      <c r="J505" s="276">
        <v>0</v>
      </c>
      <c r="K505" s="276">
        <v>9</v>
      </c>
      <c r="L505" s="276">
        <v>9</v>
      </c>
      <c r="M505" s="277">
        <v>9</v>
      </c>
    </row>
    <row r="506" spans="1:13" ht="14.25">
      <c r="A506" s="278">
        <v>11230</v>
      </c>
      <c r="B506" s="279" t="s">
        <v>262</v>
      </c>
      <c r="C506" s="279" t="s">
        <v>1011</v>
      </c>
      <c r="D506" s="279" t="s">
        <v>1012</v>
      </c>
      <c r="E506" s="280">
        <v>1.2</v>
      </c>
      <c r="F506" s="280" t="s">
        <v>116</v>
      </c>
      <c r="G506" s="280">
        <v>0</v>
      </c>
      <c r="H506" s="280">
        <v>8</v>
      </c>
      <c r="I506" s="280">
        <v>90</v>
      </c>
      <c r="J506" s="280">
        <v>0</v>
      </c>
      <c r="K506" s="280">
        <v>98</v>
      </c>
      <c r="L506" s="280">
        <v>90</v>
      </c>
      <c r="M506" s="281">
        <v>108</v>
      </c>
    </row>
    <row r="507" spans="1:13" ht="14.25">
      <c r="A507" s="274">
        <v>11230</v>
      </c>
      <c r="B507" s="275" t="s">
        <v>262</v>
      </c>
      <c r="C507" s="275" t="s">
        <v>48</v>
      </c>
      <c r="D507" s="275" t="s">
        <v>47</v>
      </c>
      <c r="E507" s="276">
        <v>1</v>
      </c>
      <c r="F507" s="276" t="s">
        <v>116</v>
      </c>
      <c r="G507" s="276">
        <v>0</v>
      </c>
      <c r="H507" s="276">
        <v>0</v>
      </c>
      <c r="I507" s="276">
        <v>67</v>
      </c>
      <c r="J507" s="276">
        <v>0</v>
      </c>
      <c r="K507" s="276">
        <v>67</v>
      </c>
      <c r="L507" s="276">
        <v>67</v>
      </c>
      <c r="M507" s="277">
        <v>67</v>
      </c>
    </row>
    <row r="508" spans="1:13" ht="14.25">
      <c r="A508" s="278">
        <v>11230</v>
      </c>
      <c r="B508" s="279" t="s">
        <v>262</v>
      </c>
      <c r="C508" s="279" t="s">
        <v>48</v>
      </c>
      <c r="D508" s="279" t="s">
        <v>47</v>
      </c>
      <c r="E508" s="280">
        <v>1</v>
      </c>
      <c r="F508" s="280" t="s">
        <v>114</v>
      </c>
      <c r="G508" s="280">
        <v>0</v>
      </c>
      <c r="H508" s="280">
        <v>12</v>
      </c>
      <c r="I508" s="280">
        <v>68</v>
      </c>
      <c r="J508" s="280">
        <v>1</v>
      </c>
      <c r="K508" s="280">
        <v>81</v>
      </c>
      <c r="L508" s="280">
        <v>68.5</v>
      </c>
      <c r="M508" s="281">
        <v>68.5</v>
      </c>
    </row>
    <row r="509" spans="1:13" ht="14.25">
      <c r="A509" s="274">
        <v>11230</v>
      </c>
      <c r="B509" s="275" t="s">
        <v>262</v>
      </c>
      <c r="C509" s="275" t="s">
        <v>49</v>
      </c>
      <c r="D509" s="275" t="s">
        <v>50</v>
      </c>
      <c r="E509" s="276">
        <v>1</v>
      </c>
      <c r="F509" s="276" t="s">
        <v>116</v>
      </c>
      <c r="G509" s="276">
        <v>0</v>
      </c>
      <c r="H509" s="276">
        <v>1</v>
      </c>
      <c r="I509" s="276">
        <v>82</v>
      </c>
      <c r="J509" s="276">
        <v>0</v>
      </c>
      <c r="K509" s="276">
        <v>83</v>
      </c>
      <c r="L509" s="276">
        <v>82</v>
      </c>
      <c r="M509" s="277">
        <v>82</v>
      </c>
    </row>
    <row r="510" spans="1:13" ht="14.25">
      <c r="A510" s="278">
        <v>11230</v>
      </c>
      <c r="B510" s="279" t="s">
        <v>262</v>
      </c>
      <c r="C510" s="279" t="s">
        <v>49</v>
      </c>
      <c r="D510" s="279" t="s">
        <v>50</v>
      </c>
      <c r="E510" s="280">
        <v>1</v>
      </c>
      <c r="F510" s="280" t="s">
        <v>114</v>
      </c>
      <c r="G510" s="280">
        <v>0</v>
      </c>
      <c r="H510" s="280">
        <v>31</v>
      </c>
      <c r="I510" s="280">
        <v>142</v>
      </c>
      <c r="J510" s="280">
        <v>3</v>
      </c>
      <c r="K510" s="280">
        <v>176</v>
      </c>
      <c r="L510" s="280">
        <v>143.5</v>
      </c>
      <c r="M510" s="281">
        <v>143.5</v>
      </c>
    </row>
    <row r="511" spans="1:13" ht="14.25">
      <c r="A511" s="274">
        <v>11230</v>
      </c>
      <c r="B511" s="275" t="s">
        <v>262</v>
      </c>
      <c r="C511" s="275" t="s">
        <v>51</v>
      </c>
      <c r="D511" s="275" t="s">
        <v>52</v>
      </c>
      <c r="E511" s="276">
        <v>1</v>
      </c>
      <c r="F511" s="276" t="s">
        <v>116</v>
      </c>
      <c r="G511" s="276">
        <v>0</v>
      </c>
      <c r="H511" s="276">
        <v>0</v>
      </c>
      <c r="I511" s="276">
        <v>1</v>
      </c>
      <c r="J511" s="276">
        <v>0</v>
      </c>
      <c r="K511" s="276">
        <v>1</v>
      </c>
      <c r="L511" s="276">
        <v>1</v>
      </c>
      <c r="M511" s="277">
        <v>1</v>
      </c>
    </row>
    <row r="512" spans="1:13" ht="14.25">
      <c r="A512" s="278">
        <v>11230</v>
      </c>
      <c r="B512" s="279" t="s">
        <v>262</v>
      </c>
      <c r="C512" s="279" t="s">
        <v>51</v>
      </c>
      <c r="D512" s="279" t="s">
        <v>52</v>
      </c>
      <c r="E512" s="280">
        <v>1</v>
      </c>
      <c r="F512" s="280" t="s">
        <v>114</v>
      </c>
      <c r="G512" s="280">
        <v>0</v>
      </c>
      <c r="H512" s="280">
        <v>12</v>
      </c>
      <c r="I512" s="280">
        <v>82</v>
      </c>
      <c r="J512" s="280">
        <v>1</v>
      </c>
      <c r="K512" s="280">
        <v>95</v>
      </c>
      <c r="L512" s="280">
        <v>82.5</v>
      </c>
      <c r="M512" s="281">
        <v>82.5</v>
      </c>
    </row>
    <row r="513" spans="1:13" ht="14.25">
      <c r="A513" s="274">
        <v>11230</v>
      </c>
      <c r="B513" s="275" t="s">
        <v>262</v>
      </c>
      <c r="C513" s="275" t="s">
        <v>53</v>
      </c>
      <c r="D513" s="275" t="s">
        <v>54</v>
      </c>
      <c r="E513" s="276">
        <v>1</v>
      </c>
      <c r="F513" s="276" t="s">
        <v>116</v>
      </c>
      <c r="G513" s="276">
        <v>0</v>
      </c>
      <c r="H513" s="276">
        <v>2</v>
      </c>
      <c r="I513" s="276">
        <v>72</v>
      </c>
      <c r="J513" s="276">
        <v>0</v>
      </c>
      <c r="K513" s="276">
        <v>74</v>
      </c>
      <c r="L513" s="276">
        <v>72</v>
      </c>
      <c r="M513" s="277">
        <v>72</v>
      </c>
    </row>
    <row r="514" spans="1:13" ht="14.25">
      <c r="A514" s="278">
        <v>11230</v>
      </c>
      <c r="B514" s="279" t="s">
        <v>262</v>
      </c>
      <c r="C514" s="279" t="s">
        <v>53</v>
      </c>
      <c r="D514" s="279" t="s">
        <v>54</v>
      </c>
      <c r="E514" s="280">
        <v>1</v>
      </c>
      <c r="F514" s="280" t="s">
        <v>114</v>
      </c>
      <c r="G514" s="280">
        <v>0</v>
      </c>
      <c r="H514" s="280">
        <v>13</v>
      </c>
      <c r="I514" s="280">
        <v>93</v>
      </c>
      <c r="J514" s="280">
        <v>0</v>
      </c>
      <c r="K514" s="280">
        <v>106</v>
      </c>
      <c r="L514" s="280">
        <v>93</v>
      </c>
      <c r="M514" s="281">
        <v>93</v>
      </c>
    </row>
    <row r="515" spans="1:13" ht="14.25">
      <c r="A515" s="274">
        <v>11230</v>
      </c>
      <c r="B515" s="275" t="s">
        <v>262</v>
      </c>
      <c r="C515" s="275" t="s">
        <v>266</v>
      </c>
      <c r="D515" s="275" t="s">
        <v>265</v>
      </c>
      <c r="E515" s="276">
        <v>1.2</v>
      </c>
      <c r="F515" s="276" t="s">
        <v>116</v>
      </c>
      <c r="G515" s="276">
        <v>0</v>
      </c>
      <c r="H515" s="276">
        <v>2</v>
      </c>
      <c r="I515" s="276">
        <v>173</v>
      </c>
      <c r="J515" s="276">
        <v>0</v>
      </c>
      <c r="K515" s="276">
        <v>175</v>
      </c>
      <c r="L515" s="276">
        <v>173</v>
      </c>
      <c r="M515" s="277">
        <v>207.6</v>
      </c>
    </row>
    <row r="516" spans="1:13" ht="14.25">
      <c r="A516" s="278">
        <v>11230</v>
      </c>
      <c r="B516" s="279" t="s">
        <v>262</v>
      </c>
      <c r="C516" s="279" t="s">
        <v>266</v>
      </c>
      <c r="D516" s="279" t="s">
        <v>265</v>
      </c>
      <c r="E516" s="280">
        <v>1.2</v>
      </c>
      <c r="F516" s="280" t="s">
        <v>114</v>
      </c>
      <c r="G516" s="280">
        <v>0</v>
      </c>
      <c r="H516" s="280">
        <v>44</v>
      </c>
      <c r="I516" s="280">
        <v>338</v>
      </c>
      <c r="J516" s="280">
        <v>9</v>
      </c>
      <c r="K516" s="280">
        <v>391</v>
      </c>
      <c r="L516" s="280">
        <v>342.5</v>
      </c>
      <c r="M516" s="281">
        <v>411</v>
      </c>
    </row>
    <row r="517" spans="1:13" ht="14.25">
      <c r="A517" s="274">
        <v>11230</v>
      </c>
      <c r="B517" s="275" t="s">
        <v>262</v>
      </c>
      <c r="C517" s="275" t="s">
        <v>1013</v>
      </c>
      <c r="D517" s="275" t="s">
        <v>1014</v>
      </c>
      <c r="E517" s="276">
        <v>1</v>
      </c>
      <c r="F517" s="276" t="s">
        <v>119</v>
      </c>
      <c r="G517" s="276">
        <v>0</v>
      </c>
      <c r="H517" s="276">
        <v>0</v>
      </c>
      <c r="I517" s="276">
        <v>3</v>
      </c>
      <c r="J517" s="276">
        <v>0</v>
      </c>
      <c r="K517" s="276">
        <v>3</v>
      </c>
      <c r="L517" s="276">
        <v>3</v>
      </c>
      <c r="M517" s="277">
        <v>3</v>
      </c>
    </row>
    <row r="518" spans="1:13" ht="14.25">
      <c r="A518" s="278">
        <v>11230</v>
      </c>
      <c r="B518" s="279" t="s">
        <v>262</v>
      </c>
      <c r="C518" s="279" t="s">
        <v>1015</v>
      </c>
      <c r="D518" s="279" t="s">
        <v>1016</v>
      </c>
      <c r="E518" s="280">
        <v>1</v>
      </c>
      <c r="F518" s="280" t="s">
        <v>119</v>
      </c>
      <c r="G518" s="280">
        <v>0</v>
      </c>
      <c r="H518" s="280">
        <v>1</v>
      </c>
      <c r="I518" s="280">
        <v>11</v>
      </c>
      <c r="J518" s="280">
        <v>0</v>
      </c>
      <c r="K518" s="280">
        <v>12</v>
      </c>
      <c r="L518" s="280">
        <v>11</v>
      </c>
      <c r="M518" s="281">
        <v>11</v>
      </c>
    </row>
    <row r="519" spans="1:13" ht="14.25">
      <c r="A519" s="274">
        <v>11230</v>
      </c>
      <c r="B519" s="275" t="s">
        <v>262</v>
      </c>
      <c r="C519" s="275" t="s">
        <v>1017</v>
      </c>
      <c r="D519" s="275" t="s">
        <v>1018</v>
      </c>
      <c r="E519" s="276">
        <v>1</v>
      </c>
      <c r="F519" s="276" t="s">
        <v>119</v>
      </c>
      <c r="G519" s="276">
        <v>0</v>
      </c>
      <c r="H519" s="276">
        <v>1</v>
      </c>
      <c r="I519" s="276">
        <v>12</v>
      </c>
      <c r="J519" s="276">
        <v>0</v>
      </c>
      <c r="K519" s="276">
        <v>13</v>
      </c>
      <c r="L519" s="276">
        <v>12</v>
      </c>
      <c r="M519" s="277">
        <v>12</v>
      </c>
    </row>
    <row r="520" spans="1:13" ht="14.25">
      <c r="A520" s="1075">
        <v>11620</v>
      </c>
      <c r="B520" s="1076" t="s">
        <v>262</v>
      </c>
      <c r="C520" s="1076" t="s">
        <v>1019</v>
      </c>
      <c r="D520" s="1076" t="s">
        <v>268</v>
      </c>
      <c r="E520" s="1077">
        <v>1</v>
      </c>
      <c r="F520" s="1077" t="s">
        <v>119</v>
      </c>
      <c r="G520" s="1077">
        <v>0</v>
      </c>
      <c r="H520" s="1077">
        <v>1</v>
      </c>
      <c r="I520" s="1077">
        <v>13</v>
      </c>
      <c r="J520" s="1077">
        <v>0</v>
      </c>
      <c r="K520" s="1077">
        <v>14</v>
      </c>
      <c r="L520" s="1077">
        <v>13</v>
      </c>
      <c r="M520" s="1078">
        <v>13</v>
      </c>
    </row>
    <row r="521" spans="1:13" ht="14.25">
      <c r="A521" s="274">
        <v>11230</v>
      </c>
      <c r="B521" s="275" t="s">
        <v>262</v>
      </c>
      <c r="C521" s="275" t="s">
        <v>1020</v>
      </c>
      <c r="D521" s="275" t="s">
        <v>1021</v>
      </c>
      <c r="E521" s="276">
        <v>1</v>
      </c>
      <c r="F521" s="276" t="s">
        <v>119</v>
      </c>
      <c r="G521" s="276">
        <v>0</v>
      </c>
      <c r="H521" s="276">
        <v>0</v>
      </c>
      <c r="I521" s="276">
        <v>6</v>
      </c>
      <c r="J521" s="276">
        <v>0</v>
      </c>
      <c r="K521" s="276">
        <v>6</v>
      </c>
      <c r="L521" s="276">
        <v>6</v>
      </c>
      <c r="M521" s="277">
        <v>6</v>
      </c>
    </row>
    <row r="522" spans="1:13" ht="14.25">
      <c r="A522" s="278">
        <v>11230</v>
      </c>
      <c r="B522" s="279" t="s">
        <v>262</v>
      </c>
      <c r="C522" s="279" t="s">
        <v>1022</v>
      </c>
      <c r="D522" s="279" t="s">
        <v>1023</v>
      </c>
      <c r="E522" s="280">
        <v>1</v>
      </c>
      <c r="F522" s="280" t="s">
        <v>119</v>
      </c>
      <c r="G522" s="280">
        <v>0</v>
      </c>
      <c r="H522" s="280">
        <v>0</v>
      </c>
      <c r="I522" s="280">
        <v>1</v>
      </c>
      <c r="J522" s="280">
        <v>0</v>
      </c>
      <c r="K522" s="280">
        <v>1</v>
      </c>
      <c r="L522" s="280">
        <v>1</v>
      </c>
      <c r="M522" s="281">
        <v>1</v>
      </c>
    </row>
    <row r="523" spans="1:13" ht="14.25">
      <c r="A523" s="274">
        <v>11230</v>
      </c>
      <c r="B523" s="275" t="s">
        <v>262</v>
      </c>
      <c r="C523" s="275" t="s">
        <v>1024</v>
      </c>
      <c r="D523" s="275" t="s">
        <v>52</v>
      </c>
      <c r="E523" s="276">
        <v>1</v>
      </c>
      <c r="F523" s="276" t="s">
        <v>119</v>
      </c>
      <c r="G523" s="276">
        <v>0</v>
      </c>
      <c r="H523" s="276">
        <v>0</v>
      </c>
      <c r="I523" s="276">
        <v>5</v>
      </c>
      <c r="J523" s="276">
        <v>0</v>
      </c>
      <c r="K523" s="276">
        <v>5</v>
      </c>
      <c r="L523" s="276">
        <v>5</v>
      </c>
      <c r="M523" s="277">
        <v>5</v>
      </c>
    </row>
    <row r="524" spans="1:13" ht="14.25">
      <c r="A524" s="278">
        <v>11230</v>
      </c>
      <c r="B524" s="279" t="s">
        <v>262</v>
      </c>
      <c r="C524" s="279" t="s">
        <v>957</v>
      </c>
      <c r="D524" s="279" t="s">
        <v>50</v>
      </c>
      <c r="E524" s="280">
        <v>1</v>
      </c>
      <c r="F524" s="280" t="s">
        <v>119</v>
      </c>
      <c r="G524" s="280">
        <v>0</v>
      </c>
      <c r="H524" s="280">
        <v>0</v>
      </c>
      <c r="I524" s="280">
        <v>7</v>
      </c>
      <c r="J524" s="280">
        <v>0</v>
      </c>
      <c r="K524" s="280">
        <v>7</v>
      </c>
      <c r="L524" s="280">
        <v>7</v>
      </c>
      <c r="M524" s="281">
        <v>7</v>
      </c>
    </row>
    <row r="525" spans="1:13" ht="14.25">
      <c r="A525" s="274">
        <v>11230</v>
      </c>
      <c r="B525" s="275" t="s">
        <v>262</v>
      </c>
      <c r="C525" s="275" t="s">
        <v>1025</v>
      </c>
      <c r="D525" s="275" t="s">
        <v>1026</v>
      </c>
      <c r="E525" s="276">
        <v>1</v>
      </c>
      <c r="F525" s="276" t="s">
        <v>119</v>
      </c>
      <c r="G525" s="276">
        <v>0</v>
      </c>
      <c r="H525" s="276">
        <v>0</v>
      </c>
      <c r="I525" s="276">
        <v>2</v>
      </c>
      <c r="J525" s="276">
        <v>0</v>
      </c>
      <c r="K525" s="276">
        <v>2</v>
      </c>
      <c r="L525" s="276">
        <v>2</v>
      </c>
      <c r="M525" s="277">
        <v>2</v>
      </c>
    </row>
    <row r="526" spans="1:13" ht="14.25">
      <c r="A526" s="278">
        <v>11230</v>
      </c>
      <c r="B526" s="279" t="s">
        <v>262</v>
      </c>
      <c r="C526" s="279" t="s">
        <v>1027</v>
      </c>
      <c r="D526" s="279" t="s">
        <v>1028</v>
      </c>
      <c r="E526" s="280">
        <v>1</v>
      </c>
      <c r="F526" s="280" t="s">
        <v>119</v>
      </c>
      <c r="G526" s="280">
        <v>0</v>
      </c>
      <c r="H526" s="280">
        <v>2</v>
      </c>
      <c r="I526" s="280">
        <v>3</v>
      </c>
      <c r="J526" s="280">
        <v>0</v>
      </c>
      <c r="K526" s="280">
        <v>5</v>
      </c>
      <c r="L526" s="280">
        <v>3</v>
      </c>
      <c r="M526" s="281">
        <v>3</v>
      </c>
    </row>
    <row r="527" spans="1:13" ht="14.25">
      <c r="A527" s="274">
        <v>11230</v>
      </c>
      <c r="B527" s="275" t="s">
        <v>262</v>
      </c>
      <c r="C527" s="275" t="s">
        <v>1029</v>
      </c>
      <c r="D527" s="275" t="s">
        <v>1030</v>
      </c>
      <c r="E527" s="276">
        <v>1</v>
      </c>
      <c r="F527" s="276" t="s">
        <v>119</v>
      </c>
      <c r="G527" s="276">
        <v>0</v>
      </c>
      <c r="H527" s="276">
        <v>0</v>
      </c>
      <c r="I527" s="276">
        <v>4</v>
      </c>
      <c r="J527" s="276">
        <v>0</v>
      </c>
      <c r="K527" s="276">
        <v>4</v>
      </c>
      <c r="L527" s="276">
        <v>4</v>
      </c>
      <c r="M527" s="277">
        <v>4</v>
      </c>
    </row>
    <row r="528" spans="1:13" ht="14.25">
      <c r="A528" s="278">
        <v>11230</v>
      </c>
      <c r="B528" s="279" t="s">
        <v>262</v>
      </c>
      <c r="C528" s="279" t="s">
        <v>1031</v>
      </c>
      <c r="D528" s="279" t="s">
        <v>1032</v>
      </c>
      <c r="E528" s="280">
        <v>1</v>
      </c>
      <c r="F528" s="280" t="s">
        <v>119</v>
      </c>
      <c r="G528" s="280">
        <v>0</v>
      </c>
      <c r="H528" s="280">
        <v>0</v>
      </c>
      <c r="I528" s="280">
        <v>3</v>
      </c>
      <c r="J528" s="280">
        <v>0</v>
      </c>
      <c r="K528" s="280">
        <v>3</v>
      </c>
      <c r="L528" s="280">
        <v>3</v>
      </c>
      <c r="M528" s="281">
        <v>3</v>
      </c>
    </row>
    <row r="529" spans="1:13" ht="14.25">
      <c r="A529" s="274">
        <v>11230</v>
      </c>
      <c r="B529" s="275" t="s">
        <v>262</v>
      </c>
      <c r="C529" s="275" t="s">
        <v>1033</v>
      </c>
      <c r="D529" s="275" t="s">
        <v>54</v>
      </c>
      <c r="E529" s="276">
        <v>1</v>
      </c>
      <c r="F529" s="276" t="s">
        <v>119</v>
      </c>
      <c r="G529" s="276">
        <v>0</v>
      </c>
      <c r="H529" s="276">
        <v>0</v>
      </c>
      <c r="I529" s="276">
        <v>5</v>
      </c>
      <c r="J529" s="276">
        <v>0</v>
      </c>
      <c r="K529" s="276">
        <v>5</v>
      </c>
      <c r="L529" s="276">
        <v>5</v>
      </c>
      <c r="M529" s="277">
        <v>5</v>
      </c>
    </row>
    <row r="530" spans="1:13" ht="14.25">
      <c r="A530" s="278">
        <v>11230</v>
      </c>
      <c r="B530" s="279" t="s">
        <v>262</v>
      </c>
      <c r="C530" s="279" t="s">
        <v>55</v>
      </c>
      <c r="D530" s="279" t="s">
        <v>47</v>
      </c>
      <c r="E530" s="280">
        <v>1</v>
      </c>
      <c r="F530" s="280" t="s">
        <v>122</v>
      </c>
      <c r="G530" s="280">
        <v>0</v>
      </c>
      <c r="H530" s="280">
        <v>17</v>
      </c>
      <c r="I530" s="280">
        <v>47</v>
      </c>
      <c r="J530" s="280">
        <v>1</v>
      </c>
      <c r="K530" s="280">
        <v>65</v>
      </c>
      <c r="L530" s="280">
        <v>47.5</v>
      </c>
      <c r="M530" s="281">
        <v>47.5</v>
      </c>
    </row>
    <row r="531" spans="1:13" ht="14.25">
      <c r="A531" s="1075">
        <v>11620</v>
      </c>
      <c r="B531" s="1076" t="s">
        <v>262</v>
      </c>
      <c r="C531" s="1076" t="s">
        <v>267</v>
      </c>
      <c r="D531" s="1076" t="s">
        <v>268</v>
      </c>
      <c r="E531" s="1077">
        <v>1</v>
      </c>
      <c r="F531" s="1077" t="s">
        <v>122</v>
      </c>
      <c r="G531" s="1077">
        <v>0</v>
      </c>
      <c r="H531" s="1077">
        <v>32</v>
      </c>
      <c r="I531" s="1077">
        <v>56</v>
      </c>
      <c r="J531" s="1077">
        <v>0</v>
      </c>
      <c r="K531" s="1077">
        <v>88</v>
      </c>
      <c r="L531" s="1077">
        <v>56</v>
      </c>
      <c r="M531" s="1078">
        <v>56</v>
      </c>
    </row>
    <row r="532" spans="1:13" ht="14.25">
      <c r="A532" s="278">
        <v>11230</v>
      </c>
      <c r="B532" s="279" t="s">
        <v>262</v>
      </c>
      <c r="C532" s="279" t="s">
        <v>56</v>
      </c>
      <c r="D532" s="279" t="s">
        <v>50</v>
      </c>
      <c r="E532" s="280">
        <v>1</v>
      </c>
      <c r="F532" s="280" t="s">
        <v>119</v>
      </c>
      <c r="G532" s="280">
        <v>0</v>
      </c>
      <c r="H532" s="280">
        <v>0</v>
      </c>
      <c r="I532" s="280">
        <v>1</v>
      </c>
      <c r="J532" s="280">
        <v>0</v>
      </c>
      <c r="K532" s="280">
        <v>1</v>
      </c>
      <c r="L532" s="280">
        <v>1</v>
      </c>
      <c r="M532" s="281">
        <v>1</v>
      </c>
    </row>
    <row r="533" spans="1:13" ht="14.25">
      <c r="A533" s="274">
        <v>11230</v>
      </c>
      <c r="B533" s="275" t="s">
        <v>262</v>
      </c>
      <c r="C533" s="275" t="s">
        <v>56</v>
      </c>
      <c r="D533" s="275" t="s">
        <v>50</v>
      </c>
      <c r="E533" s="276">
        <v>1</v>
      </c>
      <c r="F533" s="276" t="s">
        <v>122</v>
      </c>
      <c r="G533" s="276">
        <v>0</v>
      </c>
      <c r="H533" s="276">
        <v>6</v>
      </c>
      <c r="I533" s="276">
        <v>25</v>
      </c>
      <c r="J533" s="276">
        <v>1</v>
      </c>
      <c r="K533" s="276">
        <v>32</v>
      </c>
      <c r="L533" s="276">
        <v>25.5</v>
      </c>
      <c r="M533" s="277">
        <v>25.5</v>
      </c>
    </row>
    <row r="534" spans="1:13" ht="14.25">
      <c r="A534" s="278">
        <v>11230</v>
      </c>
      <c r="B534" s="279" t="s">
        <v>262</v>
      </c>
      <c r="C534" s="279" t="s">
        <v>269</v>
      </c>
      <c r="D534" s="279" t="s">
        <v>52</v>
      </c>
      <c r="E534" s="280">
        <v>1</v>
      </c>
      <c r="F534" s="280" t="s">
        <v>122</v>
      </c>
      <c r="G534" s="280">
        <v>0</v>
      </c>
      <c r="H534" s="280">
        <v>10</v>
      </c>
      <c r="I534" s="280">
        <v>18</v>
      </c>
      <c r="J534" s="280">
        <v>0</v>
      </c>
      <c r="K534" s="280">
        <v>28</v>
      </c>
      <c r="L534" s="280">
        <v>18</v>
      </c>
      <c r="M534" s="281">
        <v>18</v>
      </c>
    </row>
    <row r="535" spans="1:13" ht="14.25">
      <c r="A535" s="274">
        <v>11230</v>
      </c>
      <c r="B535" s="275" t="s">
        <v>262</v>
      </c>
      <c r="C535" s="275" t="s">
        <v>57</v>
      </c>
      <c r="D535" s="275" t="s">
        <v>54</v>
      </c>
      <c r="E535" s="276">
        <v>1</v>
      </c>
      <c r="F535" s="276" t="s">
        <v>119</v>
      </c>
      <c r="G535" s="276">
        <v>0</v>
      </c>
      <c r="H535" s="276">
        <v>0</v>
      </c>
      <c r="I535" s="276">
        <v>1</v>
      </c>
      <c r="J535" s="276">
        <v>0</v>
      </c>
      <c r="K535" s="276">
        <v>1</v>
      </c>
      <c r="L535" s="276">
        <v>1</v>
      </c>
      <c r="M535" s="277">
        <v>1</v>
      </c>
    </row>
    <row r="536" spans="1:13" ht="14.25">
      <c r="A536" s="278">
        <v>11230</v>
      </c>
      <c r="B536" s="279" t="s">
        <v>262</v>
      </c>
      <c r="C536" s="279" t="s">
        <v>57</v>
      </c>
      <c r="D536" s="279" t="s">
        <v>54</v>
      </c>
      <c r="E536" s="280">
        <v>1</v>
      </c>
      <c r="F536" s="280" t="s">
        <v>122</v>
      </c>
      <c r="G536" s="280">
        <v>0</v>
      </c>
      <c r="H536" s="280">
        <v>20</v>
      </c>
      <c r="I536" s="280">
        <v>46</v>
      </c>
      <c r="J536" s="280">
        <v>0</v>
      </c>
      <c r="K536" s="280">
        <v>66</v>
      </c>
      <c r="L536" s="280">
        <v>46</v>
      </c>
      <c r="M536" s="281">
        <v>46</v>
      </c>
    </row>
    <row r="537" spans="1:13" ht="14.25">
      <c r="A537" s="274">
        <v>11230</v>
      </c>
      <c r="B537" s="275" t="s">
        <v>262</v>
      </c>
      <c r="C537" s="275" t="s">
        <v>255</v>
      </c>
      <c r="D537" s="275" t="s">
        <v>39</v>
      </c>
      <c r="E537" s="276">
        <v>1</v>
      </c>
      <c r="F537" s="276" t="s">
        <v>122</v>
      </c>
      <c r="G537" s="276">
        <v>0</v>
      </c>
      <c r="H537" s="276">
        <v>9</v>
      </c>
      <c r="I537" s="276">
        <v>13</v>
      </c>
      <c r="J537" s="276">
        <v>0</v>
      </c>
      <c r="K537" s="276">
        <v>22</v>
      </c>
      <c r="L537" s="276">
        <v>13</v>
      </c>
      <c r="M537" s="277">
        <v>13</v>
      </c>
    </row>
    <row r="538" spans="1:13" ht="14.25">
      <c r="A538" s="278">
        <v>11230</v>
      </c>
      <c r="B538" s="279" t="s">
        <v>262</v>
      </c>
      <c r="C538" s="279" t="s">
        <v>270</v>
      </c>
      <c r="D538" s="279" t="s">
        <v>265</v>
      </c>
      <c r="E538" s="280">
        <v>1.2</v>
      </c>
      <c r="F538" s="280" t="s">
        <v>119</v>
      </c>
      <c r="G538" s="280">
        <v>0</v>
      </c>
      <c r="H538" s="280">
        <v>0</v>
      </c>
      <c r="I538" s="280">
        <v>11</v>
      </c>
      <c r="J538" s="280">
        <v>0</v>
      </c>
      <c r="K538" s="280">
        <v>11</v>
      </c>
      <c r="L538" s="280">
        <v>11</v>
      </c>
      <c r="M538" s="281">
        <v>13.2</v>
      </c>
    </row>
    <row r="539" spans="1:13" ht="14.25">
      <c r="A539" s="274">
        <v>11230</v>
      </c>
      <c r="B539" s="275" t="s">
        <v>262</v>
      </c>
      <c r="C539" s="275" t="s">
        <v>270</v>
      </c>
      <c r="D539" s="275" t="s">
        <v>265</v>
      </c>
      <c r="E539" s="276">
        <v>1.2</v>
      </c>
      <c r="F539" s="276" t="s">
        <v>122</v>
      </c>
      <c r="G539" s="276">
        <v>0</v>
      </c>
      <c r="H539" s="276">
        <v>6</v>
      </c>
      <c r="I539" s="276">
        <v>26</v>
      </c>
      <c r="J539" s="276">
        <v>0</v>
      </c>
      <c r="K539" s="276">
        <v>32</v>
      </c>
      <c r="L539" s="276">
        <v>26</v>
      </c>
      <c r="M539" s="277">
        <v>31.2</v>
      </c>
    </row>
    <row r="540" spans="1:13" ht="9.75">
      <c r="A540" s="282">
        <v>11230</v>
      </c>
      <c r="B540" s="283" t="s">
        <v>163</v>
      </c>
      <c r="C540" s="283"/>
      <c r="D540" s="283"/>
      <c r="E540" s="283"/>
      <c r="F540" s="284" t="s">
        <v>132</v>
      </c>
      <c r="G540" s="284">
        <v>559</v>
      </c>
      <c r="H540" s="284">
        <v>13</v>
      </c>
      <c r="I540" s="284">
        <v>246</v>
      </c>
      <c r="J540" s="284">
        <v>11</v>
      </c>
      <c r="K540" s="284">
        <v>829</v>
      </c>
      <c r="L540" s="284"/>
      <c r="M540" s="1052"/>
    </row>
    <row r="541" spans="1:13" ht="9.75">
      <c r="A541" s="282">
        <v>11230</v>
      </c>
      <c r="B541" s="283" t="s">
        <v>163</v>
      </c>
      <c r="C541" s="283"/>
      <c r="D541" s="283"/>
      <c r="E541" s="283"/>
      <c r="F541" s="284" t="s">
        <v>109</v>
      </c>
      <c r="G541" s="284">
        <v>0</v>
      </c>
      <c r="H541" s="284">
        <v>150</v>
      </c>
      <c r="I541" s="284">
        <v>1285</v>
      </c>
      <c r="J541" s="284">
        <v>27</v>
      </c>
      <c r="K541" s="284">
        <v>1462</v>
      </c>
      <c r="L541" s="284"/>
      <c r="M541" s="1052"/>
    </row>
    <row r="542" spans="1:13" ht="9.75">
      <c r="A542" s="282">
        <v>11230</v>
      </c>
      <c r="B542" s="283" t="s">
        <v>163</v>
      </c>
      <c r="C542" s="283"/>
      <c r="D542" s="283"/>
      <c r="E542" s="283"/>
      <c r="F542" s="284" t="s">
        <v>110</v>
      </c>
      <c r="G542" s="284">
        <v>0</v>
      </c>
      <c r="H542" s="284">
        <v>0</v>
      </c>
      <c r="I542" s="284">
        <v>0</v>
      </c>
      <c r="J542" s="284">
        <v>0</v>
      </c>
      <c r="K542" s="284">
        <v>0</v>
      </c>
      <c r="L542" s="284"/>
      <c r="M542" s="1052"/>
    </row>
    <row r="543" spans="1:13" ht="9.75">
      <c r="A543" s="282">
        <v>11230</v>
      </c>
      <c r="B543" s="283" t="s">
        <v>163</v>
      </c>
      <c r="C543" s="283"/>
      <c r="D543" s="283"/>
      <c r="E543" s="283"/>
      <c r="F543" s="284" t="s">
        <v>113</v>
      </c>
      <c r="G543" s="284">
        <v>0</v>
      </c>
      <c r="H543" s="284">
        <v>0</v>
      </c>
      <c r="I543" s="284">
        <v>0</v>
      </c>
      <c r="J543" s="284">
        <v>0</v>
      </c>
      <c r="K543" s="284">
        <v>0</v>
      </c>
      <c r="L543" s="284"/>
      <c r="M543" s="1052"/>
    </row>
    <row r="544" spans="1:13" ht="9.75">
      <c r="A544" s="282">
        <v>11230</v>
      </c>
      <c r="B544" s="283" t="s">
        <v>163</v>
      </c>
      <c r="C544" s="283"/>
      <c r="D544" s="283"/>
      <c r="E544" s="283"/>
      <c r="F544" s="284" t="s">
        <v>116</v>
      </c>
      <c r="G544" s="284">
        <v>0</v>
      </c>
      <c r="H544" s="284">
        <v>16</v>
      </c>
      <c r="I544" s="284">
        <v>590</v>
      </c>
      <c r="J544" s="284">
        <v>0</v>
      </c>
      <c r="K544" s="284">
        <v>606</v>
      </c>
      <c r="L544" s="284"/>
      <c r="M544" s="1052"/>
    </row>
    <row r="545" spans="1:13" ht="9.75">
      <c r="A545" s="282">
        <v>11230</v>
      </c>
      <c r="B545" s="283" t="s">
        <v>163</v>
      </c>
      <c r="C545" s="283"/>
      <c r="D545" s="283"/>
      <c r="E545" s="283"/>
      <c r="F545" s="284" t="s">
        <v>114</v>
      </c>
      <c r="G545" s="284">
        <v>0</v>
      </c>
      <c r="H545" s="284">
        <v>112</v>
      </c>
      <c r="I545" s="284">
        <v>723</v>
      </c>
      <c r="J545" s="284">
        <v>14</v>
      </c>
      <c r="K545" s="284">
        <v>849</v>
      </c>
      <c r="L545" s="284"/>
      <c r="M545" s="1052"/>
    </row>
    <row r="546" spans="1:13" ht="9.75">
      <c r="A546" s="282">
        <v>11230</v>
      </c>
      <c r="B546" s="283" t="s">
        <v>163</v>
      </c>
      <c r="C546" s="283"/>
      <c r="D546" s="283"/>
      <c r="E546" s="283"/>
      <c r="F546" s="284" t="s">
        <v>119</v>
      </c>
      <c r="G546" s="284">
        <v>0</v>
      </c>
      <c r="H546" s="284">
        <v>5</v>
      </c>
      <c r="I546" s="284">
        <v>88</v>
      </c>
      <c r="J546" s="284">
        <v>0</v>
      </c>
      <c r="K546" s="284">
        <v>93</v>
      </c>
      <c r="L546" s="284"/>
      <c r="M546" s="1052"/>
    </row>
    <row r="547" spans="1:13" ht="9.75">
      <c r="A547" s="282">
        <v>11230</v>
      </c>
      <c r="B547" s="283" t="s">
        <v>163</v>
      </c>
      <c r="C547" s="283"/>
      <c r="D547" s="283"/>
      <c r="E547" s="283"/>
      <c r="F547" s="284" t="s">
        <v>122</v>
      </c>
      <c r="G547" s="284">
        <v>0</v>
      </c>
      <c r="H547" s="284">
        <v>100</v>
      </c>
      <c r="I547" s="284">
        <v>231</v>
      </c>
      <c r="J547" s="284">
        <v>2</v>
      </c>
      <c r="K547" s="284">
        <v>333</v>
      </c>
      <c r="L547" s="284"/>
      <c r="M547" s="1052"/>
    </row>
    <row r="548" spans="1:13" ht="14.25">
      <c r="A548" s="278">
        <v>11240</v>
      </c>
      <c r="B548" s="279" t="s">
        <v>271</v>
      </c>
      <c r="C548" s="279" t="s">
        <v>1034</v>
      </c>
      <c r="D548" s="279" t="s">
        <v>1035</v>
      </c>
      <c r="E548" s="280">
        <v>1</v>
      </c>
      <c r="F548" s="280" t="s">
        <v>132</v>
      </c>
      <c r="G548" s="280">
        <v>551</v>
      </c>
      <c r="H548" s="280">
        <v>26</v>
      </c>
      <c r="I548" s="280">
        <v>206</v>
      </c>
      <c r="J548" s="280">
        <v>8</v>
      </c>
      <c r="K548" s="280">
        <v>791</v>
      </c>
      <c r="L548" s="280">
        <v>761</v>
      </c>
      <c r="M548" s="281">
        <v>761</v>
      </c>
    </row>
    <row r="549" spans="1:13" ht="14.25">
      <c r="A549" s="274">
        <v>11240</v>
      </c>
      <c r="B549" s="275" t="s">
        <v>271</v>
      </c>
      <c r="C549" s="275" t="s">
        <v>59</v>
      </c>
      <c r="D549" s="275" t="s">
        <v>60</v>
      </c>
      <c r="E549" s="276">
        <v>1</v>
      </c>
      <c r="F549" s="276" t="s">
        <v>132</v>
      </c>
      <c r="G549" s="276">
        <v>0</v>
      </c>
      <c r="H549" s="276">
        <v>2</v>
      </c>
      <c r="I549" s="276">
        <v>5</v>
      </c>
      <c r="J549" s="276">
        <v>1</v>
      </c>
      <c r="K549" s="276">
        <v>8</v>
      </c>
      <c r="L549" s="276">
        <v>5.5</v>
      </c>
      <c r="M549" s="277">
        <v>5.5</v>
      </c>
    </row>
    <row r="550" spans="1:13" ht="14.25">
      <c r="A550" s="278">
        <v>11240</v>
      </c>
      <c r="B550" s="279" t="s">
        <v>271</v>
      </c>
      <c r="C550" s="279" t="s">
        <v>59</v>
      </c>
      <c r="D550" s="279" t="s">
        <v>60</v>
      </c>
      <c r="E550" s="280">
        <v>1</v>
      </c>
      <c r="F550" s="280" t="s">
        <v>109</v>
      </c>
      <c r="G550" s="280">
        <v>0</v>
      </c>
      <c r="H550" s="280">
        <v>135</v>
      </c>
      <c r="I550" s="280">
        <v>785</v>
      </c>
      <c r="J550" s="280">
        <v>48</v>
      </c>
      <c r="K550" s="280">
        <v>968</v>
      </c>
      <c r="L550" s="280">
        <v>809</v>
      </c>
      <c r="M550" s="281">
        <v>809</v>
      </c>
    </row>
    <row r="551" spans="1:13" ht="14.25">
      <c r="A551" s="274">
        <v>11240</v>
      </c>
      <c r="B551" s="275" t="s">
        <v>271</v>
      </c>
      <c r="C551" s="275" t="s">
        <v>1036</v>
      </c>
      <c r="D551" s="275" t="s">
        <v>1037</v>
      </c>
      <c r="E551" s="276">
        <v>1</v>
      </c>
      <c r="F551" s="276" t="s">
        <v>116</v>
      </c>
      <c r="G551" s="276">
        <v>0</v>
      </c>
      <c r="H551" s="276">
        <v>0</v>
      </c>
      <c r="I551" s="276">
        <v>11</v>
      </c>
      <c r="J551" s="276">
        <v>0</v>
      </c>
      <c r="K551" s="276">
        <v>11</v>
      </c>
      <c r="L551" s="276">
        <v>11</v>
      </c>
      <c r="M551" s="277">
        <v>11</v>
      </c>
    </row>
    <row r="552" spans="1:13" ht="14.25">
      <c r="A552" s="278">
        <v>11240</v>
      </c>
      <c r="B552" s="279" t="s">
        <v>271</v>
      </c>
      <c r="C552" s="279" t="s">
        <v>1038</v>
      </c>
      <c r="D552" s="279" t="s">
        <v>1039</v>
      </c>
      <c r="E552" s="280">
        <v>1</v>
      </c>
      <c r="F552" s="280" t="s">
        <v>116</v>
      </c>
      <c r="G552" s="280">
        <v>0</v>
      </c>
      <c r="H552" s="280">
        <v>0</v>
      </c>
      <c r="I552" s="280">
        <v>7</v>
      </c>
      <c r="J552" s="280">
        <v>0</v>
      </c>
      <c r="K552" s="280">
        <v>7</v>
      </c>
      <c r="L552" s="280">
        <v>7</v>
      </c>
      <c r="M552" s="281">
        <v>7</v>
      </c>
    </row>
    <row r="553" spans="1:13" ht="14.25">
      <c r="A553" s="274">
        <v>11240</v>
      </c>
      <c r="B553" s="275" t="s">
        <v>271</v>
      </c>
      <c r="C553" s="275" t="s">
        <v>1040</v>
      </c>
      <c r="D553" s="275" t="s">
        <v>1041</v>
      </c>
      <c r="E553" s="276">
        <v>1</v>
      </c>
      <c r="F553" s="276" t="s">
        <v>116</v>
      </c>
      <c r="G553" s="276">
        <v>0</v>
      </c>
      <c r="H553" s="276">
        <v>3</v>
      </c>
      <c r="I553" s="276">
        <v>31</v>
      </c>
      <c r="J553" s="276">
        <v>0</v>
      </c>
      <c r="K553" s="276">
        <v>34</v>
      </c>
      <c r="L553" s="276">
        <v>31</v>
      </c>
      <c r="M553" s="277">
        <v>31</v>
      </c>
    </row>
    <row r="554" spans="1:13" ht="14.25">
      <c r="A554" s="278">
        <v>11240</v>
      </c>
      <c r="B554" s="279" t="s">
        <v>271</v>
      </c>
      <c r="C554" s="279" t="s">
        <v>1042</v>
      </c>
      <c r="D554" s="279" t="s">
        <v>1043</v>
      </c>
      <c r="E554" s="280">
        <v>1</v>
      </c>
      <c r="F554" s="280" t="s">
        <v>116</v>
      </c>
      <c r="G554" s="280">
        <v>0</v>
      </c>
      <c r="H554" s="280">
        <v>3</v>
      </c>
      <c r="I554" s="280">
        <v>23</v>
      </c>
      <c r="J554" s="280">
        <v>0</v>
      </c>
      <c r="K554" s="280">
        <v>26</v>
      </c>
      <c r="L554" s="280">
        <v>23</v>
      </c>
      <c r="M554" s="281">
        <v>23</v>
      </c>
    </row>
    <row r="555" spans="1:13" ht="14.25">
      <c r="A555" s="274">
        <v>11240</v>
      </c>
      <c r="B555" s="275" t="s">
        <v>271</v>
      </c>
      <c r="C555" s="275" t="s">
        <v>1044</v>
      </c>
      <c r="D555" s="275" t="s">
        <v>1045</v>
      </c>
      <c r="E555" s="276">
        <v>1.65</v>
      </c>
      <c r="F555" s="276" t="s">
        <v>116</v>
      </c>
      <c r="G555" s="276">
        <v>0</v>
      </c>
      <c r="H555" s="276">
        <v>0</v>
      </c>
      <c r="I555" s="276">
        <v>31</v>
      </c>
      <c r="J555" s="276">
        <v>1</v>
      </c>
      <c r="K555" s="276">
        <v>32</v>
      </c>
      <c r="L555" s="276">
        <v>31.5</v>
      </c>
      <c r="M555" s="277">
        <v>51.98</v>
      </c>
    </row>
    <row r="556" spans="1:13" ht="14.25">
      <c r="A556" s="278">
        <v>11240</v>
      </c>
      <c r="B556" s="279" t="s">
        <v>271</v>
      </c>
      <c r="C556" s="279" t="s">
        <v>1046</v>
      </c>
      <c r="D556" s="279" t="s">
        <v>1047</v>
      </c>
      <c r="E556" s="280">
        <v>1.2</v>
      </c>
      <c r="F556" s="280" t="s">
        <v>116</v>
      </c>
      <c r="G556" s="280">
        <v>0</v>
      </c>
      <c r="H556" s="280">
        <v>0</v>
      </c>
      <c r="I556" s="280">
        <v>17</v>
      </c>
      <c r="J556" s="280">
        <v>0</v>
      </c>
      <c r="K556" s="280">
        <v>17</v>
      </c>
      <c r="L556" s="280">
        <v>17</v>
      </c>
      <c r="M556" s="281">
        <v>20.4</v>
      </c>
    </row>
    <row r="557" spans="1:13" ht="21">
      <c r="A557" s="274">
        <v>11240</v>
      </c>
      <c r="B557" s="275" t="s">
        <v>271</v>
      </c>
      <c r="C557" s="275" t="s">
        <v>1048</v>
      </c>
      <c r="D557" s="275" t="s">
        <v>1049</v>
      </c>
      <c r="E557" s="276">
        <v>1</v>
      </c>
      <c r="F557" s="276" t="s">
        <v>116</v>
      </c>
      <c r="G557" s="276">
        <v>0</v>
      </c>
      <c r="H557" s="276">
        <v>3</v>
      </c>
      <c r="I557" s="276">
        <v>37</v>
      </c>
      <c r="J557" s="276">
        <v>1</v>
      </c>
      <c r="K557" s="276">
        <v>41</v>
      </c>
      <c r="L557" s="276">
        <v>37.5</v>
      </c>
      <c r="M557" s="277">
        <v>37.5</v>
      </c>
    </row>
    <row r="558" spans="1:13" ht="14.25">
      <c r="A558" s="278">
        <v>11240</v>
      </c>
      <c r="B558" s="279" t="s">
        <v>271</v>
      </c>
      <c r="C558" s="279" t="s">
        <v>272</v>
      </c>
      <c r="D558" s="279" t="s">
        <v>273</v>
      </c>
      <c r="E558" s="280">
        <v>1.65</v>
      </c>
      <c r="F558" s="280" t="s">
        <v>116</v>
      </c>
      <c r="G558" s="280">
        <v>0</v>
      </c>
      <c r="H558" s="280">
        <v>0</v>
      </c>
      <c r="I558" s="280">
        <v>1</v>
      </c>
      <c r="J558" s="280">
        <v>0</v>
      </c>
      <c r="K558" s="280">
        <v>1</v>
      </c>
      <c r="L558" s="280">
        <v>1</v>
      </c>
      <c r="M558" s="281">
        <v>1.65</v>
      </c>
    </row>
    <row r="559" spans="1:13" ht="14.25">
      <c r="A559" s="274">
        <v>11240</v>
      </c>
      <c r="B559" s="275" t="s">
        <v>271</v>
      </c>
      <c r="C559" s="275" t="s">
        <v>272</v>
      </c>
      <c r="D559" s="275" t="s">
        <v>273</v>
      </c>
      <c r="E559" s="276">
        <v>1.65</v>
      </c>
      <c r="F559" s="276" t="s">
        <v>114</v>
      </c>
      <c r="G559" s="276">
        <v>0</v>
      </c>
      <c r="H559" s="276">
        <v>2</v>
      </c>
      <c r="I559" s="276">
        <v>31</v>
      </c>
      <c r="J559" s="276">
        <v>0</v>
      </c>
      <c r="K559" s="276">
        <v>33</v>
      </c>
      <c r="L559" s="276">
        <v>31</v>
      </c>
      <c r="M559" s="277">
        <v>51.15</v>
      </c>
    </row>
    <row r="560" spans="1:13" ht="14.25">
      <c r="A560" s="278">
        <v>11240</v>
      </c>
      <c r="B560" s="279" t="s">
        <v>271</v>
      </c>
      <c r="C560" s="279" t="s">
        <v>61</v>
      </c>
      <c r="D560" s="279" t="s">
        <v>62</v>
      </c>
      <c r="E560" s="280">
        <v>1</v>
      </c>
      <c r="F560" s="280" t="s">
        <v>114</v>
      </c>
      <c r="G560" s="280">
        <v>0</v>
      </c>
      <c r="H560" s="280">
        <v>1</v>
      </c>
      <c r="I560" s="280">
        <v>3</v>
      </c>
      <c r="J560" s="280">
        <v>0</v>
      </c>
      <c r="K560" s="280">
        <v>4</v>
      </c>
      <c r="L560" s="280">
        <v>3</v>
      </c>
      <c r="M560" s="281">
        <v>3</v>
      </c>
    </row>
    <row r="561" spans="1:13" ht="14.25">
      <c r="A561" s="274">
        <v>11240</v>
      </c>
      <c r="B561" s="275" t="s">
        <v>271</v>
      </c>
      <c r="C561" s="275" t="s">
        <v>63</v>
      </c>
      <c r="D561" s="275" t="s">
        <v>60</v>
      </c>
      <c r="E561" s="276">
        <v>1</v>
      </c>
      <c r="F561" s="276" t="s">
        <v>116</v>
      </c>
      <c r="G561" s="276">
        <v>0</v>
      </c>
      <c r="H561" s="276">
        <v>9</v>
      </c>
      <c r="I561" s="276">
        <v>93</v>
      </c>
      <c r="J561" s="276">
        <v>2</v>
      </c>
      <c r="K561" s="276">
        <v>104</v>
      </c>
      <c r="L561" s="276">
        <v>94</v>
      </c>
      <c r="M561" s="277">
        <v>94</v>
      </c>
    </row>
    <row r="562" spans="1:13" ht="14.25">
      <c r="A562" s="278">
        <v>11240</v>
      </c>
      <c r="B562" s="279" t="s">
        <v>271</v>
      </c>
      <c r="C562" s="279" t="s">
        <v>63</v>
      </c>
      <c r="D562" s="279" t="s">
        <v>60</v>
      </c>
      <c r="E562" s="280">
        <v>1</v>
      </c>
      <c r="F562" s="280" t="s">
        <v>114</v>
      </c>
      <c r="G562" s="280">
        <v>0</v>
      </c>
      <c r="H562" s="280">
        <v>42</v>
      </c>
      <c r="I562" s="280">
        <v>146</v>
      </c>
      <c r="J562" s="280">
        <v>7</v>
      </c>
      <c r="K562" s="280">
        <v>195</v>
      </c>
      <c r="L562" s="280">
        <v>149.5</v>
      </c>
      <c r="M562" s="281">
        <v>149.5</v>
      </c>
    </row>
    <row r="563" spans="1:13" ht="14.25">
      <c r="A563" s="274">
        <v>11240</v>
      </c>
      <c r="B563" s="275" t="s">
        <v>271</v>
      </c>
      <c r="C563" s="275" t="s">
        <v>248</v>
      </c>
      <c r="D563" s="275" t="s">
        <v>230</v>
      </c>
      <c r="E563" s="276">
        <v>1</v>
      </c>
      <c r="F563" s="276" t="s">
        <v>116</v>
      </c>
      <c r="G563" s="276">
        <v>0</v>
      </c>
      <c r="H563" s="276">
        <v>0</v>
      </c>
      <c r="I563" s="276">
        <v>2</v>
      </c>
      <c r="J563" s="276">
        <v>0</v>
      </c>
      <c r="K563" s="276">
        <v>2</v>
      </c>
      <c r="L563" s="276">
        <v>2</v>
      </c>
      <c r="M563" s="277">
        <v>2</v>
      </c>
    </row>
    <row r="564" spans="1:13" ht="14.25">
      <c r="A564" s="278">
        <v>11240</v>
      </c>
      <c r="B564" s="279" t="s">
        <v>271</v>
      </c>
      <c r="C564" s="279" t="s">
        <v>248</v>
      </c>
      <c r="D564" s="279" t="s">
        <v>230</v>
      </c>
      <c r="E564" s="280">
        <v>1</v>
      </c>
      <c r="F564" s="280" t="s">
        <v>114</v>
      </c>
      <c r="G564" s="280">
        <v>0</v>
      </c>
      <c r="H564" s="280">
        <v>7</v>
      </c>
      <c r="I564" s="280">
        <v>56</v>
      </c>
      <c r="J564" s="280">
        <v>5</v>
      </c>
      <c r="K564" s="280">
        <v>68</v>
      </c>
      <c r="L564" s="280">
        <v>58.5</v>
      </c>
      <c r="M564" s="281">
        <v>58.5</v>
      </c>
    </row>
    <row r="565" spans="1:13" ht="14.25">
      <c r="A565" s="274">
        <v>11240</v>
      </c>
      <c r="B565" s="275" t="s">
        <v>271</v>
      </c>
      <c r="C565" s="275" t="s">
        <v>38</v>
      </c>
      <c r="D565" s="275" t="s">
        <v>39</v>
      </c>
      <c r="E565" s="276">
        <v>1</v>
      </c>
      <c r="F565" s="276" t="s">
        <v>116</v>
      </c>
      <c r="G565" s="276">
        <v>0</v>
      </c>
      <c r="H565" s="276">
        <v>6</v>
      </c>
      <c r="I565" s="276">
        <v>48</v>
      </c>
      <c r="J565" s="276">
        <v>0</v>
      </c>
      <c r="K565" s="276">
        <v>54</v>
      </c>
      <c r="L565" s="276">
        <v>48</v>
      </c>
      <c r="M565" s="277">
        <v>48</v>
      </c>
    </row>
    <row r="566" spans="1:13" ht="14.25">
      <c r="A566" s="278">
        <v>11240</v>
      </c>
      <c r="B566" s="279" t="s">
        <v>271</v>
      </c>
      <c r="C566" s="279" t="s">
        <v>38</v>
      </c>
      <c r="D566" s="279" t="s">
        <v>39</v>
      </c>
      <c r="E566" s="280">
        <v>1</v>
      </c>
      <c r="F566" s="280" t="s">
        <v>114</v>
      </c>
      <c r="G566" s="280">
        <v>0</v>
      </c>
      <c r="H566" s="280">
        <v>13</v>
      </c>
      <c r="I566" s="280">
        <v>37</v>
      </c>
      <c r="J566" s="280">
        <v>4</v>
      </c>
      <c r="K566" s="280">
        <v>54</v>
      </c>
      <c r="L566" s="280">
        <v>39</v>
      </c>
      <c r="M566" s="281">
        <v>39</v>
      </c>
    </row>
    <row r="567" spans="1:13" ht="14.25">
      <c r="A567" s="274">
        <v>11240</v>
      </c>
      <c r="B567" s="275" t="s">
        <v>271</v>
      </c>
      <c r="C567" s="275" t="s">
        <v>266</v>
      </c>
      <c r="D567" s="275" t="s">
        <v>265</v>
      </c>
      <c r="E567" s="276">
        <v>1.2</v>
      </c>
      <c r="F567" s="276" t="s">
        <v>114</v>
      </c>
      <c r="G567" s="276">
        <v>0</v>
      </c>
      <c r="H567" s="276">
        <v>7</v>
      </c>
      <c r="I567" s="276">
        <v>40</v>
      </c>
      <c r="J567" s="276">
        <v>0</v>
      </c>
      <c r="K567" s="276">
        <v>47</v>
      </c>
      <c r="L567" s="276">
        <v>40</v>
      </c>
      <c r="M567" s="277">
        <v>48</v>
      </c>
    </row>
    <row r="568" spans="1:13" ht="14.25">
      <c r="A568" s="278">
        <v>11240</v>
      </c>
      <c r="B568" s="279" t="s">
        <v>271</v>
      </c>
      <c r="C568" s="279" t="s">
        <v>1050</v>
      </c>
      <c r="D568" s="279" t="s">
        <v>1051</v>
      </c>
      <c r="E568" s="280">
        <v>1</v>
      </c>
      <c r="F568" s="280" t="s">
        <v>119</v>
      </c>
      <c r="G568" s="280">
        <v>0</v>
      </c>
      <c r="H568" s="280">
        <v>1</v>
      </c>
      <c r="I568" s="280">
        <v>5</v>
      </c>
      <c r="J568" s="280">
        <v>0</v>
      </c>
      <c r="K568" s="280">
        <v>6</v>
      </c>
      <c r="L568" s="280">
        <v>5</v>
      </c>
      <c r="M568" s="281">
        <v>5</v>
      </c>
    </row>
    <row r="569" spans="1:13" ht="14.25">
      <c r="A569" s="274">
        <v>11240</v>
      </c>
      <c r="B569" s="275" t="s">
        <v>271</v>
      </c>
      <c r="C569" s="275" t="s">
        <v>1052</v>
      </c>
      <c r="D569" s="275" t="s">
        <v>1053</v>
      </c>
      <c r="E569" s="276">
        <v>1</v>
      </c>
      <c r="F569" s="276" t="s">
        <v>119</v>
      </c>
      <c r="G569" s="276">
        <v>0</v>
      </c>
      <c r="H569" s="276">
        <v>0</v>
      </c>
      <c r="I569" s="276">
        <v>2</v>
      </c>
      <c r="J569" s="276">
        <v>0</v>
      </c>
      <c r="K569" s="276">
        <v>2</v>
      </c>
      <c r="L569" s="276">
        <v>2</v>
      </c>
      <c r="M569" s="277">
        <v>2</v>
      </c>
    </row>
    <row r="570" spans="1:13" ht="14.25">
      <c r="A570" s="278">
        <v>11240</v>
      </c>
      <c r="B570" s="279" t="s">
        <v>271</v>
      </c>
      <c r="C570" s="279" t="s">
        <v>1054</v>
      </c>
      <c r="D570" s="279" t="s">
        <v>1055</v>
      </c>
      <c r="E570" s="280">
        <v>1</v>
      </c>
      <c r="F570" s="280" t="s">
        <v>119</v>
      </c>
      <c r="G570" s="280">
        <v>0</v>
      </c>
      <c r="H570" s="280">
        <v>0</v>
      </c>
      <c r="I570" s="280">
        <v>4</v>
      </c>
      <c r="J570" s="280">
        <v>0</v>
      </c>
      <c r="K570" s="280">
        <v>4</v>
      </c>
      <c r="L570" s="280">
        <v>4</v>
      </c>
      <c r="M570" s="281">
        <v>4</v>
      </c>
    </row>
    <row r="571" spans="1:13" ht="14.25">
      <c r="A571" s="274">
        <v>11240</v>
      </c>
      <c r="B571" s="275" t="s">
        <v>271</v>
      </c>
      <c r="C571" s="275" t="s">
        <v>1056</v>
      </c>
      <c r="D571" s="275" t="s">
        <v>1057</v>
      </c>
      <c r="E571" s="276">
        <v>1</v>
      </c>
      <c r="F571" s="276" t="s">
        <v>119</v>
      </c>
      <c r="G571" s="276">
        <v>0</v>
      </c>
      <c r="H571" s="276">
        <v>0</v>
      </c>
      <c r="I571" s="276">
        <v>3</v>
      </c>
      <c r="J571" s="276">
        <v>0</v>
      </c>
      <c r="K571" s="276">
        <v>3</v>
      </c>
      <c r="L571" s="276">
        <v>3</v>
      </c>
      <c r="M571" s="277">
        <v>3</v>
      </c>
    </row>
    <row r="572" spans="1:13" ht="14.25">
      <c r="A572" s="278">
        <v>11240</v>
      </c>
      <c r="B572" s="279" t="s">
        <v>271</v>
      </c>
      <c r="C572" s="279" t="s">
        <v>1058</v>
      </c>
      <c r="D572" s="279" t="s">
        <v>1059</v>
      </c>
      <c r="E572" s="280">
        <v>1.2</v>
      </c>
      <c r="F572" s="280" t="s">
        <v>119</v>
      </c>
      <c r="G572" s="280">
        <v>0</v>
      </c>
      <c r="H572" s="280">
        <v>0</v>
      </c>
      <c r="I572" s="280">
        <v>2</v>
      </c>
      <c r="J572" s="280">
        <v>0</v>
      </c>
      <c r="K572" s="280">
        <v>2</v>
      </c>
      <c r="L572" s="280">
        <v>2</v>
      </c>
      <c r="M572" s="281">
        <v>2.4</v>
      </c>
    </row>
    <row r="573" spans="1:13" ht="14.25">
      <c r="A573" s="274">
        <v>11240</v>
      </c>
      <c r="B573" s="275" t="s">
        <v>271</v>
      </c>
      <c r="C573" s="275" t="s">
        <v>1060</v>
      </c>
      <c r="D573" s="275" t="s">
        <v>1061</v>
      </c>
      <c r="E573" s="276">
        <v>1.2</v>
      </c>
      <c r="F573" s="276" t="s">
        <v>119</v>
      </c>
      <c r="G573" s="276">
        <v>0</v>
      </c>
      <c r="H573" s="276">
        <v>0</v>
      </c>
      <c r="I573" s="276">
        <v>3</v>
      </c>
      <c r="J573" s="276">
        <v>0</v>
      </c>
      <c r="K573" s="276">
        <v>3</v>
      </c>
      <c r="L573" s="276">
        <v>3</v>
      </c>
      <c r="M573" s="277">
        <v>3.6</v>
      </c>
    </row>
    <row r="574" spans="1:13" ht="14.25">
      <c r="A574" s="278">
        <v>11240</v>
      </c>
      <c r="B574" s="279" t="s">
        <v>271</v>
      </c>
      <c r="C574" s="279" t="s">
        <v>1062</v>
      </c>
      <c r="D574" s="279" t="s">
        <v>1063</v>
      </c>
      <c r="E574" s="280">
        <v>1</v>
      </c>
      <c r="F574" s="280" t="s">
        <v>119</v>
      </c>
      <c r="G574" s="280">
        <v>0</v>
      </c>
      <c r="H574" s="280">
        <v>0</v>
      </c>
      <c r="I574" s="280">
        <v>3</v>
      </c>
      <c r="J574" s="280">
        <v>0</v>
      </c>
      <c r="K574" s="280">
        <v>3</v>
      </c>
      <c r="L574" s="280">
        <v>3</v>
      </c>
      <c r="M574" s="281">
        <v>3</v>
      </c>
    </row>
    <row r="575" spans="1:13" ht="14.25">
      <c r="A575" s="274">
        <v>11240</v>
      </c>
      <c r="B575" s="275" t="s">
        <v>271</v>
      </c>
      <c r="C575" s="275" t="s">
        <v>1064</v>
      </c>
      <c r="D575" s="275" t="s">
        <v>1065</v>
      </c>
      <c r="E575" s="276">
        <v>1.2</v>
      </c>
      <c r="F575" s="276" t="s">
        <v>119</v>
      </c>
      <c r="G575" s="276">
        <v>0</v>
      </c>
      <c r="H575" s="276">
        <v>2</v>
      </c>
      <c r="I575" s="276">
        <v>9</v>
      </c>
      <c r="J575" s="276">
        <v>0</v>
      </c>
      <c r="K575" s="276">
        <v>11</v>
      </c>
      <c r="L575" s="276">
        <v>9</v>
      </c>
      <c r="M575" s="277">
        <v>10.8</v>
      </c>
    </row>
    <row r="576" spans="1:13" ht="14.25">
      <c r="A576" s="278">
        <v>11240</v>
      </c>
      <c r="B576" s="279" t="s">
        <v>271</v>
      </c>
      <c r="C576" s="279" t="s">
        <v>1066</v>
      </c>
      <c r="D576" s="279" t="s">
        <v>1067</v>
      </c>
      <c r="E576" s="280">
        <v>1.2</v>
      </c>
      <c r="F576" s="280" t="s">
        <v>119</v>
      </c>
      <c r="G576" s="280">
        <v>0</v>
      </c>
      <c r="H576" s="280">
        <v>0</v>
      </c>
      <c r="I576" s="280">
        <v>1</v>
      </c>
      <c r="J576" s="280">
        <v>0</v>
      </c>
      <c r="K576" s="280">
        <v>1</v>
      </c>
      <c r="L576" s="280">
        <v>1</v>
      </c>
      <c r="M576" s="281">
        <v>1.2</v>
      </c>
    </row>
    <row r="577" spans="1:13" ht="14.25">
      <c r="A577" s="274">
        <v>11240</v>
      </c>
      <c r="B577" s="275" t="s">
        <v>271</v>
      </c>
      <c r="C577" s="275" t="s">
        <v>1068</v>
      </c>
      <c r="D577" s="275" t="s">
        <v>1041</v>
      </c>
      <c r="E577" s="276">
        <v>1</v>
      </c>
      <c r="F577" s="276" t="s">
        <v>119</v>
      </c>
      <c r="G577" s="276">
        <v>0</v>
      </c>
      <c r="H577" s="276">
        <v>1</v>
      </c>
      <c r="I577" s="276">
        <v>6</v>
      </c>
      <c r="J577" s="276">
        <v>0</v>
      </c>
      <c r="K577" s="276">
        <v>7</v>
      </c>
      <c r="L577" s="276">
        <v>6</v>
      </c>
      <c r="M577" s="277">
        <v>6</v>
      </c>
    </row>
    <row r="578" spans="1:13" ht="14.25">
      <c r="A578" s="278">
        <v>11240</v>
      </c>
      <c r="B578" s="279" t="s">
        <v>271</v>
      </c>
      <c r="C578" s="279" t="s">
        <v>1069</v>
      </c>
      <c r="D578" s="279" t="s">
        <v>1070</v>
      </c>
      <c r="E578" s="280">
        <v>1</v>
      </c>
      <c r="F578" s="280" t="s">
        <v>119</v>
      </c>
      <c r="G578" s="280">
        <v>0</v>
      </c>
      <c r="H578" s="280">
        <v>0</v>
      </c>
      <c r="I578" s="280">
        <v>1</v>
      </c>
      <c r="J578" s="280">
        <v>0</v>
      </c>
      <c r="K578" s="280">
        <v>1</v>
      </c>
      <c r="L578" s="280">
        <v>1</v>
      </c>
      <c r="M578" s="281">
        <v>1</v>
      </c>
    </row>
    <row r="579" spans="1:13" ht="14.25">
      <c r="A579" s="274">
        <v>11240</v>
      </c>
      <c r="B579" s="275" t="s">
        <v>271</v>
      </c>
      <c r="C579" s="275" t="s">
        <v>1071</v>
      </c>
      <c r="D579" s="275" t="s">
        <v>1072</v>
      </c>
      <c r="E579" s="276">
        <v>1.65</v>
      </c>
      <c r="F579" s="276" t="s">
        <v>119</v>
      </c>
      <c r="G579" s="276">
        <v>0</v>
      </c>
      <c r="H579" s="276">
        <v>0</v>
      </c>
      <c r="I579" s="276">
        <v>5</v>
      </c>
      <c r="J579" s="276">
        <v>0</v>
      </c>
      <c r="K579" s="276">
        <v>5</v>
      </c>
      <c r="L579" s="276">
        <v>5</v>
      </c>
      <c r="M579" s="277">
        <v>8.25</v>
      </c>
    </row>
    <row r="580" spans="1:13" ht="14.25">
      <c r="A580" s="278">
        <v>11240</v>
      </c>
      <c r="B580" s="279" t="s">
        <v>271</v>
      </c>
      <c r="C580" s="279" t="s">
        <v>1073</v>
      </c>
      <c r="D580" s="279" t="s">
        <v>1074</v>
      </c>
      <c r="E580" s="280">
        <v>1.65</v>
      </c>
      <c r="F580" s="280" t="s">
        <v>119</v>
      </c>
      <c r="G580" s="280">
        <v>0</v>
      </c>
      <c r="H580" s="280">
        <v>0</v>
      </c>
      <c r="I580" s="280">
        <v>4</v>
      </c>
      <c r="J580" s="280">
        <v>0</v>
      </c>
      <c r="K580" s="280">
        <v>4</v>
      </c>
      <c r="L580" s="280">
        <v>4</v>
      </c>
      <c r="M580" s="281">
        <v>6.6</v>
      </c>
    </row>
    <row r="581" spans="1:13" ht="14.25">
      <c r="A581" s="274">
        <v>11240</v>
      </c>
      <c r="B581" s="275" t="s">
        <v>271</v>
      </c>
      <c r="C581" s="275" t="s">
        <v>166</v>
      </c>
      <c r="D581" s="275" t="s">
        <v>167</v>
      </c>
      <c r="E581" s="276">
        <v>1.65</v>
      </c>
      <c r="F581" s="276" t="s">
        <v>122</v>
      </c>
      <c r="G581" s="276">
        <v>0</v>
      </c>
      <c r="H581" s="276">
        <v>1</v>
      </c>
      <c r="I581" s="276">
        <v>0</v>
      </c>
      <c r="J581" s="276">
        <v>0</v>
      </c>
      <c r="K581" s="276">
        <v>1</v>
      </c>
      <c r="L581" s="276">
        <v>0</v>
      </c>
      <c r="M581" s="277">
        <v>0</v>
      </c>
    </row>
    <row r="582" spans="1:13" ht="14.25">
      <c r="A582" s="278">
        <v>11240</v>
      </c>
      <c r="B582" s="279" t="s">
        <v>271</v>
      </c>
      <c r="C582" s="279" t="s">
        <v>64</v>
      </c>
      <c r="D582" s="279" t="s">
        <v>65</v>
      </c>
      <c r="E582" s="280">
        <v>1.65</v>
      </c>
      <c r="F582" s="280" t="s">
        <v>119</v>
      </c>
      <c r="G582" s="280">
        <v>0</v>
      </c>
      <c r="H582" s="280">
        <v>0</v>
      </c>
      <c r="I582" s="280">
        <v>1</v>
      </c>
      <c r="J582" s="280">
        <v>0</v>
      </c>
      <c r="K582" s="280">
        <v>1</v>
      </c>
      <c r="L582" s="280">
        <v>1</v>
      </c>
      <c r="M582" s="281">
        <v>1.65</v>
      </c>
    </row>
    <row r="583" spans="1:13" ht="14.25">
      <c r="A583" s="274">
        <v>11240</v>
      </c>
      <c r="B583" s="275" t="s">
        <v>271</v>
      </c>
      <c r="C583" s="275" t="s">
        <v>64</v>
      </c>
      <c r="D583" s="275" t="s">
        <v>65</v>
      </c>
      <c r="E583" s="276">
        <v>1.65</v>
      </c>
      <c r="F583" s="276" t="s">
        <v>122</v>
      </c>
      <c r="G583" s="276">
        <v>0</v>
      </c>
      <c r="H583" s="276">
        <v>10</v>
      </c>
      <c r="I583" s="276">
        <v>6</v>
      </c>
      <c r="J583" s="276">
        <v>0</v>
      </c>
      <c r="K583" s="276">
        <v>16</v>
      </c>
      <c r="L583" s="276">
        <v>6</v>
      </c>
      <c r="M583" s="277">
        <v>9.9</v>
      </c>
    </row>
    <row r="584" spans="1:13" ht="14.25">
      <c r="A584" s="278">
        <v>11240</v>
      </c>
      <c r="B584" s="279" t="s">
        <v>271</v>
      </c>
      <c r="C584" s="279" t="s">
        <v>66</v>
      </c>
      <c r="D584" s="279" t="s">
        <v>62</v>
      </c>
      <c r="E584" s="280">
        <v>1</v>
      </c>
      <c r="F584" s="280" t="s">
        <v>122</v>
      </c>
      <c r="G584" s="280">
        <v>0</v>
      </c>
      <c r="H584" s="280">
        <v>27</v>
      </c>
      <c r="I584" s="280">
        <v>36</v>
      </c>
      <c r="J584" s="280">
        <v>0</v>
      </c>
      <c r="K584" s="280">
        <v>63</v>
      </c>
      <c r="L584" s="280">
        <v>36</v>
      </c>
      <c r="M584" s="281">
        <v>36</v>
      </c>
    </row>
    <row r="585" spans="1:13" ht="14.25">
      <c r="A585" s="274">
        <v>11240</v>
      </c>
      <c r="B585" s="275" t="s">
        <v>271</v>
      </c>
      <c r="C585" s="275" t="s">
        <v>67</v>
      </c>
      <c r="D585" s="275" t="s">
        <v>60</v>
      </c>
      <c r="E585" s="276">
        <v>1</v>
      </c>
      <c r="F585" s="276" t="s">
        <v>122</v>
      </c>
      <c r="G585" s="276">
        <v>0</v>
      </c>
      <c r="H585" s="276">
        <v>62</v>
      </c>
      <c r="I585" s="276">
        <v>59</v>
      </c>
      <c r="J585" s="276">
        <v>2</v>
      </c>
      <c r="K585" s="276">
        <v>123</v>
      </c>
      <c r="L585" s="276">
        <v>60</v>
      </c>
      <c r="M585" s="277">
        <v>60</v>
      </c>
    </row>
    <row r="586" spans="1:13" ht="14.25">
      <c r="A586" s="278">
        <v>11240</v>
      </c>
      <c r="B586" s="279" t="s">
        <v>271</v>
      </c>
      <c r="C586" s="279" t="s">
        <v>586</v>
      </c>
      <c r="D586" s="279" t="s">
        <v>230</v>
      </c>
      <c r="E586" s="280">
        <v>1</v>
      </c>
      <c r="F586" s="280" t="s">
        <v>119</v>
      </c>
      <c r="G586" s="280">
        <v>0</v>
      </c>
      <c r="H586" s="280">
        <v>1</v>
      </c>
      <c r="I586" s="280">
        <v>3</v>
      </c>
      <c r="J586" s="280">
        <v>0</v>
      </c>
      <c r="K586" s="280">
        <v>4</v>
      </c>
      <c r="L586" s="280">
        <v>3</v>
      </c>
      <c r="M586" s="281">
        <v>3</v>
      </c>
    </row>
    <row r="587" spans="1:13" ht="14.25">
      <c r="A587" s="274">
        <v>11240</v>
      </c>
      <c r="B587" s="275" t="s">
        <v>271</v>
      </c>
      <c r="C587" s="275" t="s">
        <v>586</v>
      </c>
      <c r="D587" s="275" t="s">
        <v>230</v>
      </c>
      <c r="E587" s="276">
        <v>1</v>
      </c>
      <c r="F587" s="276" t="s">
        <v>122</v>
      </c>
      <c r="G587" s="276">
        <v>0</v>
      </c>
      <c r="H587" s="276">
        <v>3</v>
      </c>
      <c r="I587" s="276">
        <v>4</v>
      </c>
      <c r="J587" s="276">
        <v>0</v>
      </c>
      <c r="K587" s="276">
        <v>7</v>
      </c>
      <c r="L587" s="276">
        <v>4</v>
      </c>
      <c r="M587" s="277">
        <v>4</v>
      </c>
    </row>
    <row r="588" spans="1:13" ht="14.25">
      <c r="A588" s="278">
        <v>11240</v>
      </c>
      <c r="B588" s="279" t="s">
        <v>271</v>
      </c>
      <c r="C588" s="279" t="s">
        <v>255</v>
      </c>
      <c r="D588" s="279" t="s">
        <v>39</v>
      </c>
      <c r="E588" s="280">
        <v>1</v>
      </c>
      <c r="F588" s="280" t="s">
        <v>122</v>
      </c>
      <c r="G588" s="280">
        <v>0</v>
      </c>
      <c r="H588" s="280">
        <v>5</v>
      </c>
      <c r="I588" s="280">
        <v>14</v>
      </c>
      <c r="J588" s="280">
        <v>0</v>
      </c>
      <c r="K588" s="280">
        <v>19</v>
      </c>
      <c r="L588" s="280">
        <v>14</v>
      </c>
      <c r="M588" s="281">
        <v>14</v>
      </c>
    </row>
    <row r="589" spans="1:13" ht="9.75">
      <c r="A589" s="282">
        <v>11240</v>
      </c>
      <c r="B589" s="283" t="s">
        <v>163</v>
      </c>
      <c r="C589" s="283"/>
      <c r="D589" s="283"/>
      <c r="E589" s="283"/>
      <c r="F589" s="284" t="s">
        <v>132</v>
      </c>
      <c r="G589" s="284">
        <v>551</v>
      </c>
      <c r="H589" s="284">
        <v>28</v>
      </c>
      <c r="I589" s="284">
        <v>211</v>
      </c>
      <c r="J589" s="284">
        <v>9</v>
      </c>
      <c r="K589" s="284">
        <v>799</v>
      </c>
      <c r="L589" s="284"/>
      <c r="M589" s="1052"/>
    </row>
    <row r="590" spans="1:13" ht="9.75">
      <c r="A590" s="282">
        <v>11240</v>
      </c>
      <c r="B590" s="283" t="s">
        <v>163</v>
      </c>
      <c r="C590" s="283"/>
      <c r="D590" s="283"/>
      <c r="E590" s="283"/>
      <c r="F590" s="284" t="s">
        <v>109</v>
      </c>
      <c r="G590" s="284">
        <v>0</v>
      </c>
      <c r="H590" s="284">
        <v>135</v>
      </c>
      <c r="I590" s="284">
        <v>785</v>
      </c>
      <c r="J590" s="284">
        <v>48</v>
      </c>
      <c r="K590" s="284">
        <v>968</v>
      </c>
      <c r="L590" s="284"/>
      <c r="M590" s="1052"/>
    </row>
    <row r="591" spans="1:13" ht="9.75">
      <c r="A591" s="282">
        <v>11240</v>
      </c>
      <c r="B591" s="283" t="s">
        <v>163</v>
      </c>
      <c r="C591" s="283"/>
      <c r="D591" s="283"/>
      <c r="E591" s="283"/>
      <c r="F591" s="284" t="s">
        <v>110</v>
      </c>
      <c r="G591" s="284">
        <v>0</v>
      </c>
      <c r="H591" s="284">
        <v>0</v>
      </c>
      <c r="I591" s="284">
        <v>0</v>
      </c>
      <c r="J591" s="284">
        <v>0</v>
      </c>
      <c r="K591" s="284">
        <v>0</v>
      </c>
      <c r="L591" s="284"/>
      <c r="M591" s="1052"/>
    </row>
    <row r="592" spans="1:13" ht="9.75">
      <c r="A592" s="282">
        <v>11240</v>
      </c>
      <c r="B592" s="283" t="s">
        <v>163</v>
      </c>
      <c r="C592" s="283"/>
      <c r="D592" s="283"/>
      <c r="E592" s="283"/>
      <c r="F592" s="284" t="s">
        <v>113</v>
      </c>
      <c r="G592" s="284">
        <v>0</v>
      </c>
      <c r="H592" s="284">
        <v>0</v>
      </c>
      <c r="I592" s="284">
        <v>0</v>
      </c>
      <c r="J592" s="284">
        <v>0</v>
      </c>
      <c r="K592" s="284">
        <v>0</v>
      </c>
      <c r="L592" s="284"/>
      <c r="M592" s="1052"/>
    </row>
    <row r="593" spans="1:13" ht="9.75">
      <c r="A593" s="282">
        <v>11240</v>
      </c>
      <c r="B593" s="283" t="s">
        <v>163</v>
      </c>
      <c r="C593" s="283"/>
      <c r="D593" s="283"/>
      <c r="E593" s="283"/>
      <c r="F593" s="284" t="s">
        <v>116</v>
      </c>
      <c r="G593" s="284">
        <v>0</v>
      </c>
      <c r="H593" s="284">
        <v>24</v>
      </c>
      <c r="I593" s="284">
        <v>301</v>
      </c>
      <c r="J593" s="284">
        <v>4</v>
      </c>
      <c r="K593" s="284">
        <v>329</v>
      </c>
      <c r="L593" s="284"/>
      <c r="M593" s="1052"/>
    </row>
    <row r="594" spans="1:13" ht="9.75">
      <c r="A594" s="282">
        <v>11240</v>
      </c>
      <c r="B594" s="283" t="s">
        <v>163</v>
      </c>
      <c r="C594" s="283"/>
      <c r="D594" s="283"/>
      <c r="E594" s="283"/>
      <c r="F594" s="284" t="s">
        <v>114</v>
      </c>
      <c r="G594" s="284">
        <v>0</v>
      </c>
      <c r="H594" s="284">
        <v>72</v>
      </c>
      <c r="I594" s="284">
        <v>313</v>
      </c>
      <c r="J594" s="284">
        <v>16</v>
      </c>
      <c r="K594" s="284">
        <v>401</v>
      </c>
      <c r="L594" s="284"/>
      <c r="M594" s="1052"/>
    </row>
    <row r="595" spans="1:13" ht="9.75">
      <c r="A595" s="282">
        <v>11240</v>
      </c>
      <c r="B595" s="283" t="s">
        <v>163</v>
      </c>
      <c r="C595" s="283"/>
      <c r="D595" s="283"/>
      <c r="E595" s="283"/>
      <c r="F595" s="284" t="s">
        <v>119</v>
      </c>
      <c r="G595" s="284">
        <v>0</v>
      </c>
      <c r="H595" s="284">
        <v>5</v>
      </c>
      <c r="I595" s="284">
        <v>52</v>
      </c>
      <c r="J595" s="284">
        <v>0</v>
      </c>
      <c r="K595" s="284">
        <v>57</v>
      </c>
      <c r="L595" s="284"/>
      <c r="M595" s="1052"/>
    </row>
    <row r="596" spans="1:13" ht="9.75">
      <c r="A596" s="282">
        <v>11240</v>
      </c>
      <c r="B596" s="283" t="s">
        <v>163</v>
      </c>
      <c r="C596" s="283"/>
      <c r="D596" s="283"/>
      <c r="E596" s="283"/>
      <c r="F596" s="284" t="s">
        <v>122</v>
      </c>
      <c r="G596" s="284">
        <v>0</v>
      </c>
      <c r="H596" s="284">
        <v>108</v>
      </c>
      <c r="I596" s="284">
        <v>119</v>
      </c>
      <c r="J596" s="284">
        <v>2</v>
      </c>
      <c r="K596" s="284">
        <v>229</v>
      </c>
      <c r="L596" s="284"/>
      <c r="M596" s="1052"/>
    </row>
    <row r="597" spans="1:13" ht="14.25">
      <c r="A597" s="274">
        <v>11260</v>
      </c>
      <c r="B597" s="275" t="s">
        <v>274</v>
      </c>
      <c r="C597" s="275" t="s">
        <v>1075</v>
      </c>
      <c r="D597" s="275" t="s">
        <v>1076</v>
      </c>
      <c r="E597" s="276">
        <v>1</v>
      </c>
      <c r="F597" s="276" t="s">
        <v>132</v>
      </c>
      <c r="G597" s="276">
        <v>11</v>
      </c>
      <c r="H597" s="276">
        <v>0</v>
      </c>
      <c r="I597" s="276">
        <v>6</v>
      </c>
      <c r="J597" s="276">
        <v>1</v>
      </c>
      <c r="K597" s="276">
        <v>18</v>
      </c>
      <c r="L597" s="276">
        <v>17.5</v>
      </c>
      <c r="M597" s="277">
        <v>17.5</v>
      </c>
    </row>
    <row r="598" spans="1:13" ht="14.25">
      <c r="A598" s="278">
        <v>11260</v>
      </c>
      <c r="B598" s="279" t="s">
        <v>274</v>
      </c>
      <c r="C598" s="279" t="s">
        <v>69</v>
      </c>
      <c r="D598" s="279" t="s">
        <v>70</v>
      </c>
      <c r="E598" s="280">
        <v>1</v>
      </c>
      <c r="F598" s="280" t="s">
        <v>132</v>
      </c>
      <c r="G598" s="280">
        <v>9</v>
      </c>
      <c r="H598" s="280">
        <v>4</v>
      </c>
      <c r="I598" s="280">
        <v>14</v>
      </c>
      <c r="J598" s="280">
        <v>0</v>
      </c>
      <c r="K598" s="280">
        <v>27</v>
      </c>
      <c r="L598" s="280">
        <v>23</v>
      </c>
      <c r="M598" s="281">
        <v>23</v>
      </c>
    </row>
    <row r="599" spans="1:13" ht="14.25">
      <c r="A599" s="274">
        <v>11260</v>
      </c>
      <c r="B599" s="275" t="s">
        <v>274</v>
      </c>
      <c r="C599" s="275" t="s">
        <v>69</v>
      </c>
      <c r="D599" s="275" t="s">
        <v>70</v>
      </c>
      <c r="E599" s="276">
        <v>1</v>
      </c>
      <c r="F599" s="276" t="s">
        <v>109</v>
      </c>
      <c r="G599" s="276">
        <v>0</v>
      </c>
      <c r="H599" s="276">
        <v>24</v>
      </c>
      <c r="I599" s="276">
        <v>63</v>
      </c>
      <c r="J599" s="276">
        <v>6</v>
      </c>
      <c r="K599" s="276">
        <v>93</v>
      </c>
      <c r="L599" s="276">
        <v>66</v>
      </c>
      <c r="M599" s="277">
        <v>66</v>
      </c>
    </row>
    <row r="600" spans="1:13" ht="14.25">
      <c r="A600" s="278">
        <v>11260</v>
      </c>
      <c r="B600" s="279" t="s">
        <v>274</v>
      </c>
      <c r="C600" s="279" t="s">
        <v>231</v>
      </c>
      <c r="D600" s="279" t="s">
        <v>39</v>
      </c>
      <c r="E600" s="280">
        <v>1</v>
      </c>
      <c r="F600" s="280" t="s">
        <v>109</v>
      </c>
      <c r="G600" s="280">
        <v>0</v>
      </c>
      <c r="H600" s="280">
        <v>6</v>
      </c>
      <c r="I600" s="280">
        <v>27</v>
      </c>
      <c r="J600" s="280">
        <v>1</v>
      </c>
      <c r="K600" s="280">
        <v>34</v>
      </c>
      <c r="L600" s="280">
        <v>27.5</v>
      </c>
      <c r="M600" s="281">
        <v>27.5</v>
      </c>
    </row>
    <row r="601" spans="1:13" ht="14.25">
      <c r="A601" s="274">
        <v>11260</v>
      </c>
      <c r="B601" s="275" t="s">
        <v>274</v>
      </c>
      <c r="C601" s="275" t="s">
        <v>243</v>
      </c>
      <c r="D601" s="275" t="s">
        <v>244</v>
      </c>
      <c r="E601" s="276">
        <v>1</v>
      </c>
      <c r="F601" s="276" t="s">
        <v>132</v>
      </c>
      <c r="G601" s="276">
        <v>25</v>
      </c>
      <c r="H601" s="276">
        <v>5</v>
      </c>
      <c r="I601" s="276">
        <v>11</v>
      </c>
      <c r="J601" s="276">
        <v>0</v>
      </c>
      <c r="K601" s="276">
        <v>41</v>
      </c>
      <c r="L601" s="276">
        <v>36</v>
      </c>
      <c r="M601" s="277">
        <v>36</v>
      </c>
    </row>
    <row r="602" spans="1:13" ht="14.25">
      <c r="A602" s="278">
        <v>11260</v>
      </c>
      <c r="B602" s="279" t="s">
        <v>274</v>
      </c>
      <c r="C602" s="279" t="s">
        <v>243</v>
      </c>
      <c r="D602" s="279" t="s">
        <v>244</v>
      </c>
      <c r="E602" s="280">
        <v>1</v>
      </c>
      <c r="F602" s="280" t="s">
        <v>109</v>
      </c>
      <c r="G602" s="280">
        <v>0</v>
      </c>
      <c r="H602" s="280">
        <v>10</v>
      </c>
      <c r="I602" s="280">
        <v>53</v>
      </c>
      <c r="J602" s="280">
        <v>0</v>
      </c>
      <c r="K602" s="280">
        <v>63</v>
      </c>
      <c r="L602" s="280">
        <v>53</v>
      </c>
      <c r="M602" s="281">
        <v>53</v>
      </c>
    </row>
    <row r="603" spans="1:13" ht="14.25">
      <c r="A603" s="274">
        <v>11260</v>
      </c>
      <c r="B603" s="275" t="s">
        <v>274</v>
      </c>
      <c r="C603" s="275" t="s">
        <v>275</v>
      </c>
      <c r="D603" s="275" t="s">
        <v>70</v>
      </c>
      <c r="E603" s="276">
        <v>1</v>
      </c>
      <c r="F603" s="276" t="s">
        <v>110</v>
      </c>
      <c r="G603" s="276">
        <v>4</v>
      </c>
      <c r="H603" s="276">
        <v>0</v>
      </c>
      <c r="I603" s="276">
        <v>7</v>
      </c>
      <c r="J603" s="276">
        <v>0</v>
      </c>
      <c r="K603" s="276">
        <v>11</v>
      </c>
      <c r="L603" s="276">
        <v>11</v>
      </c>
      <c r="M603" s="277">
        <v>11</v>
      </c>
    </row>
    <row r="604" spans="1:13" ht="14.25">
      <c r="A604" s="278">
        <v>11260</v>
      </c>
      <c r="B604" s="279" t="s">
        <v>274</v>
      </c>
      <c r="C604" s="279" t="s">
        <v>275</v>
      </c>
      <c r="D604" s="279" t="s">
        <v>70</v>
      </c>
      <c r="E604" s="280">
        <v>1</v>
      </c>
      <c r="F604" s="280" t="s">
        <v>113</v>
      </c>
      <c r="G604" s="280">
        <v>0</v>
      </c>
      <c r="H604" s="280">
        <v>5</v>
      </c>
      <c r="I604" s="280">
        <v>33</v>
      </c>
      <c r="J604" s="280">
        <v>1</v>
      </c>
      <c r="K604" s="280">
        <v>39</v>
      </c>
      <c r="L604" s="280">
        <v>33.5</v>
      </c>
      <c r="M604" s="281">
        <v>33.5</v>
      </c>
    </row>
    <row r="605" spans="1:13" ht="14.25">
      <c r="A605" s="274">
        <v>11260</v>
      </c>
      <c r="B605" s="275" t="s">
        <v>274</v>
      </c>
      <c r="C605" s="275" t="s">
        <v>1077</v>
      </c>
      <c r="D605" s="275" t="s">
        <v>1076</v>
      </c>
      <c r="E605" s="276">
        <v>1</v>
      </c>
      <c r="F605" s="276" t="s">
        <v>116</v>
      </c>
      <c r="G605" s="276">
        <v>0</v>
      </c>
      <c r="H605" s="276">
        <v>0</v>
      </c>
      <c r="I605" s="276">
        <v>15</v>
      </c>
      <c r="J605" s="276">
        <v>0</v>
      </c>
      <c r="K605" s="276">
        <v>15</v>
      </c>
      <c r="L605" s="276">
        <v>15</v>
      </c>
      <c r="M605" s="277">
        <v>15</v>
      </c>
    </row>
    <row r="606" spans="1:13" ht="14.25">
      <c r="A606" s="278">
        <v>11260</v>
      </c>
      <c r="B606" s="279" t="s">
        <v>274</v>
      </c>
      <c r="C606" s="279" t="s">
        <v>1078</v>
      </c>
      <c r="D606" s="279" t="s">
        <v>1053</v>
      </c>
      <c r="E606" s="280">
        <v>1</v>
      </c>
      <c r="F606" s="280" t="s">
        <v>116</v>
      </c>
      <c r="G606" s="280">
        <v>0</v>
      </c>
      <c r="H606" s="280">
        <v>3</v>
      </c>
      <c r="I606" s="280">
        <v>23</v>
      </c>
      <c r="J606" s="280">
        <v>0</v>
      </c>
      <c r="K606" s="280">
        <v>26</v>
      </c>
      <c r="L606" s="280">
        <v>23</v>
      </c>
      <c r="M606" s="281">
        <v>23</v>
      </c>
    </row>
    <row r="607" spans="1:13" ht="14.25">
      <c r="A607" s="274">
        <v>11260</v>
      </c>
      <c r="B607" s="275" t="s">
        <v>274</v>
      </c>
      <c r="C607" s="275" t="s">
        <v>63</v>
      </c>
      <c r="D607" s="275" t="s">
        <v>60</v>
      </c>
      <c r="E607" s="276">
        <v>1</v>
      </c>
      <c r="F607" s="276" t="s">
        <v>116</v>
      </c>
      <c r="G607" s="276">
        <v>0</v>
      </c>
      <c r="H607" s="276">
        <v>1</v>
      </c>
      <c r="I607" s="276">
        <v>2</v>
      </c>
      <c r="J607" s="276">
        <v>0</v>
      </c>
      <c r="K607" s="276">
        <v>3</v>
      </c>
      <c r="L607" s="276">
        <v>2</v>
      </c>
      <c r="M607" s="277">
        <v>2</v>
      </c>
    </row>
    <row r="608" spans="1:13" ht="14.25">
      <c r="A608" s="278">
        <v>11260</v>
      </c>
      <c r="B608" s="279" t="s">
        <v>274</v>
      </c>
      <c r="C608" s="279" t="s">
        <v>63</v>
      </c>
      <c r="D608" s="279" t="s">
        <v>60</v>
      </c>
      <c r="E608" s="280">
        <v>1</v>
      </c>
      <c r="F608" s="280" t="s">
        <v>114</v>
      </c>
      <c r="G608" s="280">
        <v>0</v>
      </c>
      <c r="H608" s="280">
        <v>6</v>
      </c>
      <c r="I608" s="280">
        <v>24</v>
      </c>
      <c r="J608" s="280">
        <v>0</v>
      </c>
      <c r="K608" s="280">
        <v>30</v>
      </c>
      <c r="L608" s="280">
        <v>24</v>
      </c>
      <c r="M608" s="281">
        <v>24</v>
      </c>
    </row>
    <row r="609" spans="1:13" ht="14.25">
      <c r="A609" s="274">
        <v>11260</v>
      </c>
      <c r="B609" s="275" t="s">
        <v>274</v>
      </c>
      <c r="C609" s="275" t="s">
        <v>276</v>
      </c>
      <c r="D609" s="275" t="s">
        <v>70</v>
      </c>
      <c r="E609" s="276">
        <v>1</v>
      </c>
      <c r="F609" s="276" t="s">
        <v>116</v>
      </c>
      <c r="G609" s="276">
        <v>0</v>
      </c>
      <c r="H609" s="276">
        <v>3</v>
      </c>
      <c r="I609" s="276">
        <v>22</v>
      </c>
      <c r="J609" s="276">
        <v>0</v>
      </c>
      <c r="K609" s="276">
        <v>25</v>
      </c>
      <c r="L609" s="276">
        <v>22</v>
      </c>
      <c r="M609" s="277">
        <v>22</v>
      </c>
    </row>
    <row r="610" spans="1:13" ht="14.25">
      <c r="A610" s="278">
        <v>11260</v>
      </c>
      <c r="B610" s="279" t="s">
        <v>274</v>
      </c>
      <c r="C610" s="279" t="s">
        <v>276</v>
      </c>
      <c r="D610" s="279" t="s">
        <v>70</v>
      </c>
      <c r="E610" s="280">
        <v>1</v>
      </c>
      <c r="F610" s="280" t="s">
        <v>114</v>
      </c>
      <c r="G610" s="280">
        <v>0</v>
      </c>
      <c r="H610" s="280">
        <v>11</v>
      </c>
      <c r="I610" s="280">
        <v>30</v>
      </c>
      <c r="J610" s="280">
        <v>1</v>
      </c>
      <c r="K610" s="280">
        <v>42</v>
      </c>
      <c r="L610" s="280">
        <v>30.5</v>
      </c>
      <c r="M610" s="281">
        <v>30.5</v>
      </c>
    </row>
    <row r="611" spans="1:13" ht="14.25">
      <c r="A611" s="274">
        <v>11260</v>
      </c>
      <c r="B611" s="275" t="s">
        <v>274</v>
      </c>
      <c r="C611" s="275" t="s">
        <v>38</v>
      </c>
      <c r="D611" s="275" t="s">
        <v>39</v>
      </c>
      <c r="E611" s="276">
        <v>1</v>
      </c>
      <c r="F611" s="276" t="s">
        <v>116</v>
      </c>
      <c r="G611" s="276">
        <v>0</v>
      </c>
      <c r="H611" s="276">
        <v>0</v>
      </c>
      <c r="I611" s="276">
        <v>2</v>
      </c>
      <c r="J611" s="276">
        <v>0</v>
      </c>
      <c r="K611" s="276">
        <v>2</v>
      </c>
      <c r="L611" s="276">
        <v>2</v>
      </c>
      <c r="M611" s="277">
        <v>2</v>
      </c>
    </row>
    <row r="612" spans="1:13" ht="14.25">
      <c r="A612" s="278">
        <v>11260</v>
      </c>
      <c r="B612" s="279" t="s">
        <v>274</v>
      </c>
      <c r="C612" s="279" t="s">
        <v>38</v>
      </c>
      <c r="D612" s="279" t="s">
        <v>39</v>
      </c>
      <c r="E612" s="280">
        <v>1</v>
      </c>
      <c r="F612" s="280" t="s">
        <v>114</v>
      </c>
      <c r="G612" s="280">
        <v>0</v>
      </c>
      <c r="H612" s="280">
        <v>4</v>
      </c>
      <c r="I612" s="280">
        <v>17</v>
      </c>
      <c r="J612" s="280">
        <v>1</v>
      </c>
      <c r="K612" s="280">
        <v>22</v>
      </c>
      <c r="L612" s="280">
        <v>17.5</v>
      </c>
      <c r="M612" s="281">
        <v>17.5</v>
      </c>
    </row>
    <row r="613" spans="1:13" ht="14.25">
      <c r="A613" s="274">
        <v>11260</v>
      </c>
      <c r="B613" s="275" t="s">
        <v>274</v>
      </c>
      <c r="C613" s="275" t="s">
        <v>253</v>
      </c>
      <c r="D613" s="275" t="s">
        <v>244</v>
      </c>
      <c r="E613" s="276">
        <v>1</v>
      </c>
      <c r="F613" s="276" t="s">
        <v>116</v>
      </c>
      <c r="G613" s="276">
        <v>0</v>
      </c>
      <c r="H613" s="276">
        <v>2</v>
      </c>
      <c r="I613" s="276">
        <v>9</v>
      </c>
      <c r="J613" s="276">
        <v>0</v>
      </c>
      <c r="K613" s="276">
        <v>11</v>
      </c>
      <c r="L613" s="276">
        <v>9</v>
      </c>
      <c r="M613" s="277">
        <v>9</v>
      </c>
    </row>
    <row r="614" spans="1:13" ht="14.25">
      <c r="A614" s="278">
        <v>11260</v>
      </c>
      <c r="B614" s="279" t="s">
        <v>274</v>
      </c>
      <c r="C614" s="279" t="s">
        <v>253</v>
      </c>
      <c r="D614" s="279" t="s">
        <v>244</v>
      </c>
      <c r="E614" s="280">
        <v>1</v>
      </c>
      <c r="F614" s="280" t="s">
        <v>114</v>
      </c>
      <c r="G614" s="280">
        <v>0</v>
      </c>
      <c r="H614" s="280">
        <v>8</v>
      </c>
      <c r="I614" s="280">
        <v>31</v>
      </c>
      <c r="J614" s="280">
        <v>1</v>
      </c>
      <c r="K614" s="280">
        <v>40</v>
      </c>
      <c r="L614" s="280">
        <v>31.5</v>
      </c>
      <c r="M614" s="281">
        <v>31.5</v>
      </c>
    </row>
    <row r="615" spans="1:13" ht="14.25">
      <c r="A615" s="274">
        <v>11260</v>
      </c>
      <c r="B615" s="275" t="s">
        <v>274</v>
      </c>
      <c r="C615" s="275" t="s">
        <v>1079</v>
      </c>
      <c r="D615" s="275" t="s">
        <v>1080</v>
      </c>
      <c r="E615" s="276">
        <v>1</v>
      </c>
      <c r="F615" s="276" t="s">
        <v>119</v>
      </c>
      <c r="G615" s="276">
        <v>0</v>
      </c>
      <c r="H615" s="276">
        <v>2</v>
      </c>
      <c r="I615" s="276">
        <v>1</v>
      </c>
      <c r="J615" s="276">
        <v>0</v>
      </c>
      <c r="K615" s="276">
        <v>3</v>
      </c>
      <c r="L615" s="276">
        <v>1</v>
      </c>
      <c r="M615" s="277">
        <v>1</v>
      </c>
    </row>
    <row r="616" spans="1:13" ht="14.25">
      <c r="A616" s="278">
        <v>11260</v>
      </c>
      <c r="B616" s="279" t="s">
        <v>274</v>
      </c>
      <c r="C616" s="279" t="s">
        <v>1081</v>
      </c>
      <c r="D616" s="279" t="s">
        <v>1082</v>
      </c>
      <c r="E616" s="280">
        <v>1</v>
      </c>
      <c r="F616" s="280" t="s">
        <v>119</v>
      </c>
      <c r="G616" s="280">
        <v>0</v>
      </c>
      <c r="H616" s="280">
        <v>0</v>
      </c>
      <c r="I616" s="280">
        <v>2</v>
      </c>
      <c r="J616" s="280">
        <v>0</v>
      </c>
      <c r="K616" s="280">
        <v>2</v>
      </c>
      <c r="L616" s="280">
        <v>2</v>
      </c>
      <c r="M616" s="281">
        <v>2</v>
      </c>
    </row>
    <row r="617" spans="1:13" ht="14.25">
      <c r="A617" s="274">
        <v>11260</v>
      </c>
      <c r="B617" s="275" t="s">
        <v>274</v>
      </c>
      <c r="C617" s="275" t="s">
        <v>71</v>
      </c>
      <c r="D617" s="275" t="s">
        <v>70</v>
      </c>
      <c r="E617" s="276">
        <v>1</v>
      </c>
      <c r="F617" s="276" t="s">
        <v>119</v>
      </c>
      <c r="G617" s="276">
        <v>0</v>
      </c>
      <c r="H617" s="276">
        <v>0</v>
      </c>
      <c r="I617" s="276">
        <v>10</v>
      </c>
      <c r="J617" s="276">
        <v>0</v>
      </c>
      <c r="K617" s="276">
        <v>10</v>
      </c>
      <c r="L617" s="276">
        <v>10</v>
      </c>
      <c r="M617" s="277">
        <v>10</v>
      </c>
    </row>
    <row r="618" spans="1:13" ht="14.25">
      <c r="A618" s="278">
        <v>11260</v>
      </c>
      <c r="B618" s="279" t="s">
        <v>274</v>
      </c>
      <c r="C618" s="279" t="s">
        <v>71</v>
      </c>
      <c r="D618" s="279" t="s">
        <v>70</v>
      </c>
      <c r="E618" s="280">
        <v>1</v>
      </c>
      <c r="F618" s="280" t="s">
        <v>122</v>
      </c>
      <c r="G618" s="280">
        <v>0</v>
      </c>
      <c r="H618" s="280">
        <v>6</v>
      </c>
      <c r="I618" s="280">
        <v>6</v>
      </c>
      <c r="J618" s="280">
        <v>0</v>
      </c>
      <c r="K618" s="280">
        <v>12</v>
      </c>
      <c r="L618" s="280">
        <v>6</v>
      </c>
      <c r="M618" s="281">
        <v>6</v>
      </c>
    </row>
    <row r="619" spans="1:13" ht="14.25">
      <c r="A619" s="274">
        <v>11260</v>
      </c>
      <c r="B619" s="275" t="s">
        <v>274</v>
      </c>
      <c r="C619" s="275" t="s">
        <v>255</v>
      </c>
      <c r="D619" s="275" t="s">
        <v>39</v>
      </c>
      <c r="E619" s="276">
        <v>1</v>
      </c>
      <c r="F619" s="276" t="s">
        <v>122</v>
      </c>
      <c r="G619" s="276">
        <v>0</v>
      </c>
      <c r="H619" s="276">
        <v>8</v>
      </c>
      <c r="I619" s="276">
        <v>12</v>
      </c>
      <c r="J619" s="276">
        <v>0</v>
      </c>
      <c r="K619" s="276">
        <v>20</v>
      </c>
      <c r="L619" s="276">
        <v>12</v>
      </c>
      <c r="M619" s="277">
        <v>12</v>
      </c>
    </row>
    <row r="620" spans="1:13" ht="14.25">
      <c r="A620" s="278">
        <v>11260</v>
      </c>
      <c r="B620" s="279" t="s">
        <v>274</v>
      </c>
      <c r="C620" s="279" t="s">
        <v>258</v>
      </c>
      <c r="D620" s="279" t="s">
        <v>244</v>
      </c>
      <c r="E620" s="280">
        <v>1</v>
      </c>
      <c r="F620" s="280" t="s">
        <v>122</v>
      </c>
      <c r="G620" s="280">
        <v>0</v>
      </c>
      <c r="H620" s="280">
        <v>16</v>
      </c>
      <c r="I620" s="280">
        <v>14</v>
      </c>
      <c r="J620" s="280">
        <v>0</v>
      </c>
      <c r="K620" s="280">
        <v>30</v>
      </c>
      <c r="L620" s="280">
        <v>14</v>
      </c>
      <c r="M620" s="281">
        <v>14</v>
      </c>
    </row>
    <row r="621" spans="1:13" ht="9.75">
      <c r="A621" s="282">
        <v>11260</v>
      </c>
      <c r="B621" s="283" t="s">
        <v>163</v>
      </c>
      <c r="C621" s="283"/>
      <c r="D621" s="283"/>
      <c r="E621" s="283"/>
      <c r="F621" s="284" t="s">
        <v>132</v>
      </c>
      <c r="G621" s="284">
        <v>45</v>
      </c>
      <c r="H621" s="284">
        <v>9</v>
      </c>
      <c r="I621" s="284">
        <v>31</v>
      </c>
      <c r="J621" s="284">
        <v>1</v>
      </c>
      <c r="K621" s="284">
        <v>86</v>
      </c>
      <c r="L621" s="284"/>
      <c r="M621" s="1052"/>
    </row>
    <row r="622" spans="1:13" ht="9.75">
      <c r="A622" s="282">
        <v>11260</v>
      </c>
      <c r="B622" s="283" t="s">
        <v>163</v>
      </c>
      <c r="C622" s="283"/>
      <c r="D622" s="283"/>
      <c r="E622" s="283"/>
      <c r="F622" s="284" t="s">
        <v>109</v>
      </c>
      <c r="G622" s="284">
        <v>0</v>
      </c>
      <c r="H622" s="284">
        <v>40</v>
      </c>
      <c r="I622" s="284">
        <v>143</v>
      </c>
      <c r="J622" s="284">
        <v>7</v>
      </c>
      <c r="K622" s="284">
        <v>190</v>
      </c>
      <c r="L622" s="284"/>
      <c r="M622" s="1052"/>
    </row>
    <row r="623" spans="1:13" ht="9.75">
      <c r="A623" s="282">
        <v>11260</v>
      </c>
      <c r="B623" s="283" t="s">
        <v>163</v>
      </c>
      <c r="C623" s="283"/>
      <c r="D623" s="283"/>
      <c r="E623" s="283"/>
      <c r="F623" s="284" t="s">
        <v>110</v>
      </c>
      <c r="G623" s="284">
        <v>4</v>
      </c>
      <c r="H623" s="284">
        <v>0</v>
      </c>
      <c r="I623" s="284">
        <v>7</v>
      </c>
      <c r="J623" s="284">
        <v>0</v>
      </c>
      <c r="K623" s="284">
        <v>11</v>
      </c>
      <c r="L623" s="284"/>
      <c r="M623" s="1052"/>
    </row>
    <row r="624" spans="1:13" ht="9.75">
      <c r="A624" s="282">
        <v>11260</v>
      </c>
      <c r="B624" s="283" t="s">
        <v>163</v>
      </c>
      <c r="C624" s="283"/>
      <c r="D624" s="283"/>
      <c r="E624" s="283"/>
      <c r="F624" s="284" t="s">
        <v>113</v>
      </c>
      <c r="G624" s="284">
        <v>0</v>
      </c>
      <c r="H624" s="284">
        <v>5</v>
      </c>
      <c r="I624" s="284">
        <v>33</v>
      </c>
      <c r="J624" s="284">
        <v>1</v>
      </c>
      <c r="K624" s="284">
        <v>39</v>
      </c>
      <c r="L624" s="284"/>
      <c r="M624" s="1052"/>
    </row>
    <row r="625" spans="1:13" ht="9.75">
      <c r="A625" s="282">
        <v>11260</v>
      </c>
      <c r="B625" s="283" t="s">
        <v>163</v>
      </c>
      <c r="C625" s="283"/>
      <c r="D625" s="283"/>
      <c r="E625" s="283"/>
      <c r="F625" s="284" t="s">
        <v>116</v>
      </c>
      <c r="G625" s="284">
        <v>0</v>
      </c>
      <c r="H625" s="284">
        <v>9</v>
      </c>
      <c r="I625" s="284">
        <v>73</v>
      </c>
      <c r="J625" s="284">
        <v>0</v>
      </c>
      <c r="K625" s="284">
        <v>82</v>
      </c>
      <c r="L625" s="284"/>
      <c r="M625" s="1052"/>
    </row>
    <row r="626" spans="1:13" ht="9.75">
      <c r="A626" s="282">
        <v>11260</v>
      </c>
      <c r="B626" s="283" t="s">
        <v>163</v>
      </c>
      <c r="C626" s="283"/>
      <c r="D626" s="283"/>
      <c r="E626" s="283"/>
      <c r="F626" s="284" t="s">
        <v>114</v>
      </c>
      <c r="G626" s="284">
        <v>0</v>
      </c>
      <c r="H626" s="284">
        <v>29</v>
      </c>
      <c r="I626" s="284">
        <v>102</v>
      </c>
      <c r="J626" s="284">
        <v>3</v>
      </c>
      <c r="K626" s="284">
        <v>134</v>
      </c>
      <c r="L626" s="284"/>
      <c r="M626" s="1052"/>
    </row>
    <row r="627" spans="1:13" ht="9.75">
      <c r="A627" s="282">
        <v>11260</v>
      </c>
      <c r="B627" s="283" t="s">
        <v>163</v>
      </c>
      <c r="C627" s="283"/>
      <c r="D627" s="283"/>
      <c r="E627" s="283"/>
      <c r="F627" s="284" t="s">
        <v>119</v>
      </c>
      <c r="G627" s="284">
        <v>0</v>
      </c>
      <c r="H627" s="284">
        <v>2</v>
      </c>
      <c r="I627" s="284">
        <v>13</v>
      </c>
      <c r="J627" s="284">
        <v>0</v>
      </c>
      <c r="K627" s="284">
        <v>15</v>
      </c>
      <c r="L627" s="284"/>
      <c r="M627" s="1052"/>
    </row>
    <row r="628" spans="1:13" ht="9.75">
      <c r="A628" s="282">
        <v>11260</v>
      </c>
      <c r="B628" s="283" t="s">
        <v>163</v>
      </c>
      <c r="C628" s="283"/>
      <c r="D628" s="283"/>
      <c r="E628" s="283"/>
      <c r="F628" s="284" t="s">
        <v>122</v>
      </c>
      <c r="G628" s="284">
        <v>0</v>
      </c>
      <c r="H628" s="284">
        <v>30</v>
      </c>
      <c r="I628" s="284">
        <v>32</v>
      </c>
      <c r="J628" s="284">
        <v>0</v>
      </c>
      <c r="K628" s="284">
        <v>62</v>
      </c>
      <c r="L628" s="284"/>
      <c r="M628" s="1052"/>
    </row>
    <row r="629" spans="1:13" ht="14.25">
      <c r="A629" s="274">
        <v>11270</v>
      </c>
      <c r="B629" s="275" t="s">
        <v>277</v>
      </c>
      <c r="C629" s="275" t="s">
        <v>1083</v>
      </c>
      <c r="D629" s="275" t="s">
        <v>1084</v>
      </c>
      <c r="E629" s="276">
        <v>1</v>
      </c>
      <c r="F629" s="276" t="s">
        <v>132</v>
      </c>
      <c r="G629" s="276">
        <v>17</v>
      </c>
      <c r="H629" s="276">
        <v>6</v>
      </c>
      <c r="I629" s="276">
        <v>18</v>
      </c>
      <c r="J629" s="276">
        <v>1</v>
      </c>
      <c r="K629" s="276">
        <v>42</v>
      </c>
      <c r="L629" s="276">
        <v>35.5</v>
      </c>
      <c r="M629" s="277">
        <v>35.5</v>
      </c>
    </row>
    <row r="630" spans="1:13" ht="14.25">
      <c r="A630" s="278">
        <v>11270</v>
      </c>
      <c r="B630" s="279" t="s">
        <v>277</v>
      </c>
      <c r="C630" s="279" t="s">
        <v>69</v>
      </c>
      <c r="D630" s="279" t="s">
        <v>70</v>
      </c>
      <c r="E630" s="280">
        <v>1</v>
      </c>
      <c r="F630" s="280" t="s">
        <v>132</v>
      </c>
      <c r="G630" s="280">
        <v>8</v>
      </c>
      <c r="H630" s="280">
        <v>5</v>
      </c>
      <c r="I630" s="280">
        <v>15</v>
      </c>
      <c r="J630" s="280">
        <v>1</v>
      </c>
      <c r="K630" s="280">
        <v>29</v>
      </c>
      <c r="L630" s="280">
        <v>23.5</v>
      </c>
      <c r="M630" s="281">
        <v>23.5</v>
      </c>
    </row>
    <row r="631" spans="1:13" ht="14.25">
      <c r="A631" s="274">
        <v>11270</v>
      </c>
      <c r="B631" s="275" t="s">
        <v>277</v>
      </c>
      <c r="C631" s="275" t="s">
        <v>69</v>
      </c>
      <c r="D631" s="275" t="s">
        <v>70</v>
      </c>
      <c r="E631" s="276">
        <v>1</v>
      </c>
      <c r="F631" s="276" t="s">
        <v>109</v>
      </c>
      <c r="G631" s="276">
        <v>0</v>
      </c>
      <c r="H631" s="276">
        <v>22</v>
      </c>
      <c r="I631" s="276">
        <v>38</v>
      </c>
      <c r="J631" s="276">
        <v>3</v>
      </c>
      <c r="K631" s="276">
        <v>63</v>
      </c>
      <c r="L631" s="276">
        <v>39.5</v>
      </c>
      <c r="M631" s="277">
        <v>39.5</v>
      </c>
    </row>
    <row r="632" spans="1:13" ht="14.25">
      <c r="A632" s="278">
        <v>11270</v>
      </c>
      <c r="B632" s="279" t="s">
        <v>277</v>
      </c>
      <c r="C632" s="279" t="s">
        <v>278</v>
      </c>
      <c r="D632" s="279" t="s">
        <v>279</v>
      </c>
      <c r="E632" s="280">
        <v>1</v>
      </c>
      <c r="F632" s="280" t="s">
        <v>132</v>
      </c>
      <c r="G632" s="280">
        <v>0</v>
      </c>
      <c r="H632" s="280">
        <v>1</v>
      </c>
      <c r="I632" s="280">
        <v>1</v>
      </c>
      <c r="J632" s="280">
        <v>0</v>
      </c>
      <c r="K632" s="280">
        <v>2</v>
      </c>
      <c r="L632" s="280">
        <v>1</v>
      </c>
      <c r="M632" s="281">
        <v>1</v>
      </c>
    </row>
    <row r="633" spans="1:13" ht="14.25">
      <c r="A633" s="274">
        <v>11270</v>
      </c>
      <c r="B633" s="275" t="s">
        <v>277</v>
      </c>
      <c r="C633" s="275" t="s">
        <v>278</v>
      </c>
      <c r="D633" s="275" t="s">
        <v>279</v>
      </c>
      <c r="E633" s="276">
        <v>1</v>
      </c>
      <c r="F633" s="276" t="s">
        <v>109</v>
      </c>
      <c r="G633" s="276">
        <v>0</v>
      </c>
      <c r="H633" s="276">
        <v>48</v>
      </c>
      <c r="I633" s="276">
        <v>66</v>
      </c>
      <c r="J633" s="276">
        <v>7</v>
      </c>
      <c r="K633" s="276">
        <v>121</v>
      </c>
      <c r="L633" s="276">
        <v>69.5</v>
      </c>
      <c r="M633" s="277">
        <v>69.5</v>
      </c>
    </row>
    <row r="634" spans="1:13" ht="14.25">
      <c r="A634" s="278">
        <v>11270</v>
      </c>
      <c r="B634" s="279" t="s">
        <v>277</v>
      </c>
      <c r="C634" s="279" t="s">
        <v>275</v>
      </c>
      <c r="D634" s="279" t="s">
        <v>70</v>
      </c>
      <c r="E634" s="280">
        <v>1</v>
      </c>
      <c r="F634" s="280" t="s">
        <v>113</v>
      </c>
      <c r="G634" s="280">
        <v>0</v>
      </c>
      <c r="H634" s="280">
        <v>3</v>
      </c>
      <c r="I634" s="280">
        <v>0</v>
      </c>
      <c r="J634" s="280">
        <v>0</v>
      </c>
      <c r="K634" s="280">
        <v>3</v>
      </c>
      <c r="L634" s="280">
        <v>0</v>
      </c>
      <c r="M634" s="281">
        <v>0</v>
      </c>
    </row>
    <row r="635" spans="1:13" ht="14.25">
      <c r="A635" s="274">
        <v>11270</v>
      </c>
      <c r="B635" s="275" t="s">
        <v>277</v>
      </c>
      <c r="C635" s="275" t="s">
        <v>1085</v>
      </c>
      <c r="D635" s="275" t="s">
        <v>1086</v>
      </c>
      <c r="E635" s="276">
        <v>1</v>
      </c>
      <c r="F635" s="276" t="s">
        <v>116</v>
      </c>
      <c r="G635" s="276">
        <v>0</v>
      </c>
      <c r="H635" s="276">
        <v>0</v>
      </c>
      <c r="I635" s="276">
        <v>21</v>
      </c>
      <c r="J635" s="276">
        <v>0</v>
      </c>
      <c r="K635" s="276">
        <v>21</v>
      </c>
      <c r="L635" s="276">
        <v>21</v>
      </c>
      <c r="M635" s="277">
        <v>21</v>
      </c>
    </row>
    <row r="636" spans="1:13" ht="14.25">
      <c r="A636" s="278">
        <v>11270</v>
      </c>
      <c r="B636" s="279" t="s">
        <v>277</v>
      </c>
      <c r="C636" s="279" t="s">
        <v>276</v>
      </c>
      <c r="D636" s="279" t="s">
        <v>70</v>
      </c>
      <c r="E636" s="280">
        <v>1</v>
      </c>
      <c r="F636" s="280" t="s">
        <v>116</v>
      </c>
      <c r="G636" s="280">
        <v>0</v>
      </c>
      <c r="H636" s="280">
        <v>1</v>
      </c>
      <c r="I636" s="280">
        <v>6</v>
      </c>
      <c r="J636" s="280">
        <v>0</v>
      </c>
      <c r="K636" s="280">
        <v>7</v>
      </c>
      <c r="L636" s="280">
        <v>6</v>
      </c>
      <c r="M636" s="281">
        <v>6</v>
      </c>
    </row>
    <row r="637" spans="1:13" ht="14.25">
      <c r="A637" s="274">
        <v>11270</v>
      </c>
      <c r="B637" s="275" t="s">
        <v>277</v>
      </c>
      <c r="C637" s="275" t="s">
        <v>276</v>
      </c>
      <c r="D637" s="275" t="s">
        <v>70</v>
      </c>
      <c r="E637" s="276">
        <v>1</v>
      </c>
      <c r="F637" s="276" t="s">
        <v>114</v>
      </c>
      <c r="G637" s="276">
        <v>0</v>
      </c>
      <c r="H637" s="276">
        <v>2</v>
      </c>
      <c r="I637" s="276">
        <v>23</v>
      </c>
      <c r="J637" s="276">
        <v>1</v>
      </c>
      <c r="K637" s="276">
        <v>26</v>
      </c>
      <c r="L637" s="276">
        <v>23.5</v>
      </c>
      <c r="M637" s="277">
        <v>23.5</v>
      </c>
    </row>
    <row r="638" spans="1:13" ht="14.25">
      <c r="A638" s="278">
        <v>11270</v>
      </c>
      <c r="B638" s="279" t="s">
        <v>277</v>
      </c>
      <c r="C638" s="279" t="s">
        <v>66</v>
      </c>
      <c r="D638" s="279" t="s">
        <v>62</v>
      </c>
      <c r="E638" s="280">
        <v>1</v>
      </c>
      <c r="F638" s="280" t="s">
        <v>119</v>
      </c>
      <c r="G638" s="280">
        <v>0</v>
      </c>
      <c r="H638" s="280">
        <v>0</v>
      </c>
      <c r="I638" s="280">
        <v>1</v>
      </c>
      <c r="J638" s="280">
        <v>0</v>
      </c>
      <c r="K638" s="280">
        <v>1</v>
      </c>
      <c r="L638" s="280">
        <v>1</v>
      </c>
      <c r="M638" s="281">
        <v>1</v>
      </c>
    </row>
    <row r="639" spans="1:13" ht="14.25">
      <c r="A639" s="274">
        <v>11270</v>
      </c>
      <c r="B639" s="275" t="s">
        <v>277</v>
      </c>
      <c r="C639" s="275" t="s">
        <v>66</v>
      </c>
      <c r="D639" s="275" t="s">
        <v>62</v>
      </c>
      <c r="E639" s="276">
        <v>1</v>
      </c>
      <c r="F639" s="276" t="s">
        <v>122</v>
      </c>
      <c r="G639" s="276">
        <v>0</v>
      </c>
      <c r="H639" s="276">
        <v>1</v>
      </c>
      <c r="I639" s="276">
        <v>5</v>
      </c>
      <c r="J639" s="276">
        <v>0</v>
      </c>
      <c r="K639" s="276">
        <v>6</v>
      </c>
      <c r="L639" s="276">
        <v>5</v>
      </c>
      <c r="M639" s="277">
        <v>5</v>
      </c>
    </row>
    <row r="640" spans="1:13" ht="14.25">
      <c r="A640" s="278">
        <v>11270</v>
      </c>
      <c r="B640" s="279" t="s">
        <v>277</v>
      </c>
      <c r="C640" s="279" t="s">
        <v>71</v>
      </c>
      <c r="D640" s="279" t="s">
        <v>70</v>
      </c>
      <c r="E640" s="280">
        <v>1</v>
      </c>
      <c r="F640" s="280" t="s">
        <v>119</v>
      </c>
      <c r="G640" s="280">
        <v>0</v>
      </c>
      <c r="H640" s="280">
        <v>3</v>
      </c>
      <c r="I640" s="280">
        <v>4</v>
      </c>
      <c r="J640" s="280">
        <v>0</v>
      </c>
      <c r="K640" s="280">
        <v>7</v>
      </c>
      <c r="L640" s="280">
        <v>4</v>
      </c>
      <c r="M640" s="281">
        <v>4</v>
      </c>
    </row>
    <row r="641" spans="1:13" ht="14.25">
      <c r="A641" s="274">
        <v>11270</v>
      </c>
      <c r="B641" s="275" t="s">
        <v>277</v>
      </c>
      <c r="C641" s="275" t="s">
        <v>71</v>
      </c>
      <c r="D641" s="275" t="s">
        <v>70</v>
      </c>
      <c r="E641" s="276">
        <v>1</v>
      </c>
      <c r="F641" s="276" t="s">
        <v>122</v>
      </c>
      <c r="G641" s="276">
        <v>0</v>
      </c>
      <c r="H641" s="276">
        <v>17</v>
      </c>
      <c r="I641" s="276">
        <v>15</v>
      </c>
      <c r="J641" s="276">
        <v>0</v>
      </c>
      <c r="K641" s="276">
        <v>32</v>
      </c>
      <c r="L641" s="276">
        <v>15</v>
      </c>
      <c r="M641" s="277">
        <v>15</v>
      </c>
    </row>
    <row r="642" spans="1:13" ht="9.75">
      <c r="A642" s="282">
        <v>11270</v>
      </c>
      <c r="B642" s="283" t="s">
        <v>163</v>
      </c>
      <c r="C642" s="283"/>
      <c r="D642" s="283"/>
      <c r="E642" s="283"/>
      <c r="F642" s="284" t="s">
        <v>132</v>
      </c>
      <c r="G642" s="284">
        <v>25</v>
      </c>
      <c r="H642" s="284">
        <v>12</v>
      </c>
      <c r="I642" s="284">
        <v>34</v>
      </c>
      <c r="J642" s="284">
        <v>2</v>
      </c>
      <c r="K642" s="284">
        <v>73</v>
      </c>
      <c r="L642" s="284"/>
      <c r="M642" s="1052"/>
    </row>
    <row r="643" spans="1:13" ht="9.75">
      <c r="A643" s="282">
        <v>11270</v>
      </c>
      <c r="B643" s="283" t="s">
        <v>163</v>
      </c>
      <c r="C643" s="283"/>
      <c r="D643" s="283"/>
      <c r="E643" s="283"/>
      <c r="F643" s="284" t="s">
        <v>109</v>
      </c>
      <c r="G643" s="284">
        <v>0</v>
      </c>
      <c r="H643" s="284">
        <v>70</v>
      </c>
      <c r="I643" s="284">
        <v>104</v>
      </c>
      <c r="J643" s="284">
        <v>10</v>
      </c>
      <c r="K643" s="284">
        <v>184</v>
      </c>
      <c r="L643" s="284"/>
      <c r="M643" s="1052"/>
    </row>
    <row r="644" spans="1:13" ht="9.75">
      <c r="A644" s="282">
        <v>11270</v>
      </c>
      <c r="B644" s="283" t="s">
        <v>163</v>
      </c>
      <c r="C644" s="283"/>
      <c r="D644" s="283"/>
      <c r="E644" s="283"/>
      <c r="F644" s="284" t="s">
        <v>110</v>
      </c>
      <c r="G644" s="284">
        <v>0</v>
      </c>
      <c r="H644" s="284">
        <v>0</v>
      </c>
      <c r="I644" s="284">
        <v>0</v>
      </c>
      <c r="J644" s="284">
        <v>0</v>
      </c>
      <c r="K644" s="284">
        <v>0</v>
      </c>
      <c r="L644" s="284"/>
      <c r="M644" s="1052"/>
    </row>
    <row r="645" spans="1:13" ht="9.75">
      <c r="A645" s="282">
        <v>11270</v>
      </c>
      <c r="B645" s="283" t="s">
        <v>163</v>
      </c>
      <c r="C645" s="283"/>
      <c r="D645" s="283"/>
      <c r="E645" s="283"/>
      <c r="F645" s="284" t="s">
        <v>113</v>
      </c>
      <c r="G645" s="284">
        <v>0</v>
      </c>
      <c r="H645" s="284">
        <v>3</v>
      </c>
      <c r="I645" s="284">
        <v>0</v>
      </c>
      <c r="J645" s="284">
        <v>0</v>
      </c>
      <c r="K645" s="284">
        <v>3</v>
      </c>
      <c r="L645" s="284"/>
      <c r="M645" s="1052"/>
    </row>
    <row r="646" spans="1:13" ht="9.75">
      <c r="A646" s="282">
        <v>11270</v>
      </c>
      <c r="B646" s="283" t="s">
        <v>163</v>
      </c>
      <c r="C646" s="283"/>
      <c r="D646" s="283"/>
      <c r="E646" s="283"/>
      <c r="F646" s="284" t="s">
        <v>116</v>
      </c>
      <c r="G646" s="284">
        <v>0</v>
      </c>
      <c r="H646" s="284">
        <v>1</v>
      </c>
      <c r="I646" s="284">
        <v>27</v>
      </c>
      <c r="J646" s="284">
        <v>0</v>
      </c>
      <c r="K646" s="284">
        <v>28</v>
      </c>
      <c r="L646" s="284"/>
      <c r="M646" s="1052"/>
    </row>
    <row r="647" spans="1:13" ht="9.75">
      <c r="A647" s="282">
        <v>11270</v>
      </c>
      <c r="B647" s="283" t="s">
        <v>163</v>
      </c>
      <c r="C647" s="283"/>
      <c r="D647" s="283"/>
      <c r="E647" s="283"/>
      <c r="F647" s="284" t="s">
        <v>114</v>
      </c>
      <c r="G647" s="284">
        <v>0</v>
      </c>
      <c r="H647" s="284">
        <v>2</v>
      </c>
      <c r="I647" s="284">
        <v>23</v>
      </c>
      <c r="J647" s="284">
        <v>1</v>
      </c>
      <c r="K647" s="284">
        <v>26</v>
      </c>
      <c r="L647" s="284"/>
      <c r="M647" s="1052"/>
    </row>
    <row r="648" spans="1:13" ht="9.75">
      <c r="A648" s="282">
        <v>11270</v>
      </c>
      <c r="B648" s="283" t="s">
        <v>163</v>
      </c>
      <c r="C648" s="283"/>
      <c r="D648" s="283"/>
      <c r="E648" s="283"/>
      <c r="F648" s="284" t="s">
        <v>119</v>
      </c>
      <c r="G648" s="284">
        <v>0</v>
      </c>
      <c r="H648" s="284">
        <v>3</v>
      </c>
      <c r="I648" s="284">
        <v>5</v>
      </c>
      <c r="J648" s="284">
        <v>0</v>
      </c>
      <c r="K648" s="284">
        <v>8</v>
      </c>
      <c r="L648" s="284"/>
      <c r="M648" s="1052"/>
    </row>
    <row r="649" spans="1:13" ht="9.75">
      <c r="A649" s="282">
        <v>11270</v>
      </c>
      <c r="B649" s="283" t="s">
        <v>163</v>
      </c>
      <c r="C649" s="283"/>
      <c r="D649" s="283"/>
      <c r="E649" s="283"/>
      <c r="F649" s="284" t="s">
        <v>122</v>
      </c>
      <c r="G649" s="284">
        <v>0</v>
      </c>
      <c r="H649" s="284">
        <v>18</v>
      </c>
      <c r="I649" s="284">
        <v>20</v>
      </c>
      <c r="J649" s="284">
        <v>0</v>
      </c>
      <c r="K649" s="284">
        <v>38</v>
      </c>
      <c r="L649" s="284"/>
      <c r="M649" s="1052"/>
    </row>
    <row r="650" spans="1:13" ht="21">
      <c r="A650" s="278">
        <v>11280</v>
      </c>
      <c r="B650" s="279" t="s">
        <v>280</v>
      </c>
      <c r="C650" s="279" t="s">
        <v>1087</v>
      </c>
      <c r="D650" s="279" t="s">
        <v>1088</v>
      </c>
      <c r="E650" s="280">
        <v>1.2</v>
      </c>
      <c r="F650" s="280" t="s">
        <v>132</v>
      </c>
      <c r="G650" s="280">
        <v>4</v>
      </c>
      <c r="H650" s="280">
        <v>1</v>
      </c>
      <c r="I650" s="280">
        <v>8</v>
      </c>
      <c r="J650" s="280">
        <v>0</v>
      </c>
      <c r="K650" s="280">
        <v>13</v>
      </c>
      <c r="L650" s="280">
        <v>12</v>
      </c>
      <c r="M650" s="281">
        <v>14.4</v>
      </c>
    </row>
    <row r="651" spans="1:13" ht="14.25">
      <c r="A651" s="274">
        <v>11280</v>
      </c>
      <c r="B651" s="275" t="s">
        <v>280</v>
      </c>
      <c r="C651" s="275" t="s">
        <v>1089</v>
      </c>
      <c r="D651" s="275" t="s">
        <v>1090</v>
      </c>
      <c r="E651" s="276">
        <v>1</v>
      </c>
      <c r="F651" s="276" t="s">
        <v>132</v>
      </c>
      <c r="G651" s="276">
        <v>30</v>
      </c>
      <c r="H651" s="276">
        <v>1</v>
      </c>
      <c r="I651" s="276">
        <v>9</v>
      </c>
      <c r="J651" s="276">
        <v>0</v>
      </c>
      <c r="K651" s="276">
        <v>40</v>
      </c>
      <c r="L651" s="276">
        <v>39</v>
      </c>
      <c r="M651" s="277">
        <v>39</v>
      </c>
    </row>
    <row r="652" spans="1:13" ht="14.25">
      <c r="A652" s="278">
        <v>11280</v>
      </c>
      <c r="B652" s="279" t="s">
        <v>280</v>
      </c>
      <c r="C652" s="279" t="s">
        <v>1091</v>
      </c>
      <c r="D652" s="279" t="s">
        <v>1092</v>
      </c>
      <c r="E652" s="280">
        <v>1</v>
      </c>
      <c r="F652" s="280" t="s">
        <v>132</v>
      </c>
      <c r="G652" s="280">
        <v>6</v>
      </c>
      <c r="H652" s="280">
        <v>0</v>
      </c>
      <c r="I652" s="280">
        <v>6</v>
      </c>
      <c r="J652" s="280">
        <v>0</v>
      </c>
      <c r="K652" s="280">
        <v>12</v>
      </c>
      <c r="L652" s="280">
        <v>12</v>
      </c>
      <c r="M652" s="281">
        <v>12</v>
      </c>
    </row>
    <row r="653" spans="1:13" ht="14.25">
      <c r="A653" s="274">
        <v>11280</v>
      </c>
      <c r="B653" s="275" t="s">
        <v>280</v>
      </c>
      <c r="C653" s="275" t="s">
        <v>1093</v>
      </c>
      <c r="D653" s="275" t="s">
        <v>909</v>
      </c>
      <c r="E653" s="276">
        <v>1</v>
      </c>
      <c r="F653" s="276" t="s">
        <v>132</v>
      </c>
      <c r="G653" s="276">
        <v>2</v>
      </c>
      <c r="H653" s="276">
        <v>0</v>
      </c>
      <c r="I653" s="276">
        <v>5</v>
      </c>
      <c r="J653" s="276">
        <v>0</v>
      </c>
      <c r="K653" s="276">
        <v>7</v>
      </c>
      <c r="L653" s="276">
        <v>7</v>
      </c>
      <c r="M653" s="277">
        <v>7</v>
      </c>
    </row>
    <row r="654" spans="1:13" ht="14.25">
      <c r="A654" s="278">
        <v>11280</v>
      </c>
      <c r="B654" s="279" t="s">
        <v>280</v>
      </c>
      <c r="C654" s="279" t="s">
        <v>1094</v>
      </c>
      <c r="D654" s="279" t="s">
        <v>1095</v>
      </c>
      <c r="E654" s="280">
        <v>1</v>
      </c>
      <c r="F654" s="280" t="s">
        <v>132</v>
      </c>
      <c r="G654" s="280">
        <v>7</v>
      </c>
      <c r="H654" s="280">
        <v>3</v>
      </c>
      <c r="I654" s="280">
        <v>15</v>
      </c>
      <c r="J654" s="280">
        <v>0</v>
      </c>
      <c r="K654" s="280">
        <v>25</v>
      </c>
      <c r="L654" s="280">
        <v>22</v>
      </c>
      <c r="M654" s="281">
        <v>22</v>
      </c>
    </row>
    <row r="655" spans="1:13" ht="14.25">
      <c r="A655" s="274">
        <v>11280</v>
      </c>
      <c r="B655" s="275" t="s">
        <v>280</v>
      </c>
      <c r="C655" s="275" t="s">
        <v>1096</v>
      </c>
      <c r="D655" s="275" t="s">
        <v>1097</v>
      </c>
      <c r="E655" s="276">
        <v>1</v>
      </c>
      <c r="F655" s="276" t="s">
        <v>132</v>
      </c>
      <c r="G655" s="276">
        <v>3</v>
      </c>
      <c r="H655" s="276">
        <v>1</v>
      </c>
      <c r="I655" s="276">
        <v>4</v>
      </c>
      <c r="J655" s="276">
        <v>0</v>
      </c>
      <c r="K655" s="276">
        <v>8</v>
      </c>
      <c r="L655" s="276">
        <v>7</v>
      </c>
      <c r="M655" s="277">
        <v>7</v>
      </c>
    </row>
    <row r="656" spans="1:13" ht="14.25">
      <c r="A656" s="278">
        <v>11280</v>
      </c>
      <c r="B656" s="279" t="s">
        <v>280</v>
      </c>
      <c r="C656" s="279" t="s">
        <v>1098</v>
      </c>
      <c r="D656" s="279" t="s">
        <v>1099</v>
      </c>
      <c r="E656" s="280">
        <v>1</v>
      </c>
      <c r="F656" s="280" t="s">
        <v>132</v>
      </c>
      <c r="G656" s="280">
        <v>19</v>
      </c>
      <c r="H656" s="280">
        <v>4</v>
      </c>
      <c r="I656" s="280">
        <v>10</v>
      </c>
      <c r="J656" s="280">
        <v>1</v>
      </c>
      <c r="K656" s="280">
        <v>34</v>
      </c>
      <c r="L656" s="280">
        <v>29.5</v>
      </c>
      <c r="M656" s="281">
        <v>29.5</v>
      </c>
    </row>
    <row r="657" spans="1:13" ht="14.25">
      <c r="A657" s="274">
        <v>11280</v>
      </c>
      <c r="B657" s="275" t="s">
        <v>280</v>
      </c>
      <c r="C657" s="275" t="s">
        <v>59</v>
      </c>
      <c r="D657" s="275" t="s">
        <v>60</v>
      </c>
      <c r="E657" s="276">
        <v>1</v>
      </c>
      <c r="F657" s="276" t="s">
        <v>109</v>
      </c>
      <c r="G657" s="276">
        <v>0</v>
      </c>
      <c r="H657" s="276">
        <v>4</v>
      </c>
      <c r="I657" s="276">
        <v>13</v>
      </c>
      <c r="J657" s="276">
        <v>0</v>
      </c>
      <c r="K657" s="276">
        <v>17</v>
      </c>
      <c r="L657" s="276">
        <v>13</v>
      </c>
      <c r="M657" s="277">
        <v>13</v>
      </c>
    </row>
    <row r="658" spans="1:13" ht="14.25">
      <c r="A658" s="278">
        <v>11280</v>
      </c>
      <c r="B658" s="279" t="s">
        <v>280</v>
      </c>
      <c r="C658" s="279" t="s">
        <v>69</v>
      </c>
      <c r="D658" s="279" t="s">
        <v>70</v>
      </c>
      <c r="E658" s="280">
        <v>1</v>
      </c>
      <c r="F658" s="280" t="s">
        <v>132</v>
      </c>
      <c r="G658" s="280">
        <v>7</v>
      </c>
      <c r="H658" s="280">
        <v>4</v>
      </c>
      <c r="I658" s="280">
        <v>3</v>
      </c>
      <c r="J658" s="280">
        <v>0</v>
      </c>
      <c r="K658" s="280">
        <v>14</v>
      </c>
      <c r="L658" s="280">
        <v>10</v>
      </c>
      <c r="M658" s="281">
        <v>10</v>
      </c>
    </row>
    <row r="659" spans="1:13" ht="14.25">
      <c r="A659" s="274">
        <v>11280</v>
      </c>
      <c r="B659" s="275" t="s">
        <v>280</v>
      </c>
      <c r="C659" s="275" t="s">
        <v>69</v>
      </c>
      <c r="D659" s="275" t="s">
        <v>70</v>
      </c>
      <c r="E659" s="276">
        <v>1</v>
      </c>
      <c r="F659" s="276" t="s">
        <v>109</v>
      </c>
      <c r="G659" s="276">
        <v>0</v>
      </c>
      <c r="H659" s="276">
        <v>25</v>
      </c>
      <c r="I659" s="276">
        <v>26</v>
      </c>
      <c r="J659" s="276">
        <v>2</v>
      </c>
      <c r="K659" s="276">
        <v>53</v>
      </c>
      <c r="L659" s="276">
        <v>27</v>
      </c>
      <c r="M659" s="277">
        <v>27</v>
      </c>
    </row>
    <row r="660" spans="1:13" ht="14.25">
      <c r="A660" s="278">
        <v>11280</v>
      </c>
      <c r="B660" s="279" t="s">
        <v>280</v>
      </c>
      <c r="C660" s="279" t="s">
        <v>88</v>
      </c>
      <c r="D660" s="279" t="s">
        <v>89</v>
      </c>
      <c r="E660" s="280">
        <v>1.2</v>
      </c>
      <c r="F660" s="280" t="s">
        <v>132</v>
      </c>
      <c r="G660" s="280">
        <v>0</v>
      </c>
      <c r="H660" s="280">
        <v>1</v>
      </c>
      <c r="I660" s="280">
        <v>3</v>
      </c>
      <c r="J660" s="280">
        <v>0</v>
      </c>
      <c r="K660" s="280">
        <v>4</v>
      </c>
      <c r="L660" s="280">
        <v>3</v>
      </c>
      <c r="M660" s="281">
        <v>3.6</v>
      </c>
    </row>
    <row r="661" spans="1:13" ht="14.25">
      <c r="A661" s="274">
        <v>11280</v>
      </c>
      <c r="B661" s="275" t="s">
        <v>280</v>
      </c>
      <c r="C661" s="275" t="s">
        <v>88</v>
      </c>
      <c r="D661" s="275" t="s">
        <v>89</v>
      </c>
      <c r="E661" s="276">
        <v>1.2</v>
      </c>
      <c r="F661" s="276" t="s">
        <v>109</v>
      </c>
      <c r="G661" s="276">
        <v>0</v>
      </c>
      <c r="H661" s="276">
        <v>19</v>
      </c>
      <c r="I661" s="276">
        <v>78</v>
      </c>
      <c r="J661" s="276">
        <v>2</v>
      </c>
      <c r="K661" s="276">
        <v>99</v>
      </c>
      <c r="L661" s="276">
        <v>79</v>
      </c>
      <c r="M661" s="277">
        <v>94.8</v>
      </c>
    </row>
    <row r="662" spans="1:13" ht="14.25">
      <c r="A662" s="278">
        <v>11280</v>
      </c>
      <c r="B662" s="279" t="s">
        <v>280</v>
      </c>
      <c r="C662" s="279" t="s">
        <v>278</v>
      </c>
      <c r="D662" s="279" t="s">
        <v>279</v>
      </c>
      <c r="E662" s="280">
        <v>1</v>
      </c>
      <c r="F662" s="280" t="s">
        <v>109</v>
      </c>
      <c r="G662" s="280">
        <v>0</v>
      </c>
      <c r="H662" s="280">
        <v>22</v>
      </c>
      <c r="I662" s="280">
        <v>69</v>
      </c>
      <c r="J662" s="280">
        <v>1</v>
      </c>
      <c r="K662" s="280">
        <v>92</v>
      </c>
      <c r="L662" s="280">
        <v>69.5</v>
      </c>
      <c r="M662" s="281">
        <v>69.5</v>
      </c>
    </row>
    <row r="663" spans="1:13" ht="21">
      <c r="A663" s="274">
        <v>11280</v>
      </c>
      <c r="B663" s="275" t="s">
        <v>280</v>
      </c>
      <c r="C663" s="275" t="s">
        <v>1100</v>
      </c>
      <c r="D663" s="275" t="s">
        <v>1101</v>
      </c>
      <c r="E663" s="276">
        <v>1.2</v>
      </c>
      <c r="F663" s="276" t="s">
        <v>116</v>
      </c>
      <c r="G663" s="276">
        <v>0</v>
      </c>
      <c r="H663" s="276">
        <v>1</v>
      </c>
      <c r="I663" s="276">
        <v>17</v>
      </c>
      <c r="J663" s="276">
        <v>0</v>
      </c>
      <c r="K663" s="276">
        <v>18</v>
      </c>
      <c r="L663" s="276">
        <v>17</v>
      </c>
      <c r="M663" s="277">
        <v>20.4</v>
      </c>
    </row>
    <row r="664" spans="1:13" ht="14.25">
      <c r="A664" s="278">
        <v>11280</v>
      </c>
      <c r="B664" s="279" t="s">
        <v>280</v>
      </c>
      <c r="C664" s="279" t="s">
        <v>1102</v>
      </c>
      <c r="D664" s="279" t="s">
        <v>1092</v>
      </c>
      <c r="E664" s="280">
        <v>1</v>
      </c>
      <c r="F664" s="280" t="s">
        <v>116</v>
      </c>
      <c r="G664" s="280">
        <v>0</v>
      </c>
      <c r="H664" s="280">
        <v>0</v>
      </c>
      <c r="I664" s="280">
        <v>2</v>
      </c>
      <c r="J664" s="280">
        <v>0</v>
      </c>
      <c r="K664" s="280">
        <v>2</v>
      </c>
      <c r="L664" s="280">
        <v>2</v>
      </c>
      <c r="M664" s="281">
        <v>2</v>
      </c>
    </row>
    <row r="665" spans="1:13" ht="14.25">
      <c r="A665" s="274">
        <v>11280</v>
      </c>
      <c r="B665" s="275" t="s">
        <v>280</v>
      </c>
      <c r="C665" s="275" t="s">
        <v>1103</v>
      </c>
      <c r="D665" s="275" t="s">
        <v>909</v>
      </c>
      <c r="E665" s="276">
        <v>1</v>
      </c>
      <c r="F665" s="276" t="s">
        <v>116</v>
      </c>
      <c r="G665" s="276">
        <v>0</v>
      </c>
      <c r="H665" s="276">
        <v>0</v>
      </c>
      <c r="I665" s="276">
        <v>1</v>
      </c>
      <c r="J665" s="276">
        <v>0</v>
      </c>
      <c r="K665" s="276">
        <v>1</v>
      </c>
      <c r="L665" s="276">
        <v>1</v>
      </c>
      <c r="M665" s="277">
        <v>1</v>
      </c>
    </row>
    <row r="666" spans="1:13" ht="14.25">
      <c r="A666" s="278">
        <v>11280</v>
      </c>
      <c r="B666" s="279" t="s">
        <v>280</v>
      </c>
      <c r="C666" s="279" t="s">
        <v>1104</v>
      </c>
      <c r="D666" s="279" t="s">
        <v>1095</v>
      </c>
      <c r="E666" s="280">
        <v>1</v>
      </c>
      <c r="F666" s="280" t="s">
        <v>116</v>
      </c>
      <c r="G666" s="280">
        <v>0</v>
      </c>
      <c r="H666" s="280">
        <v>1</v>
      </c>
      <c r="I666" s="280">
        <v>5</v>
      </c>
      <c r="J666" s="280">
        <v>1</v>
      </c>
      <c r="K666" s="280">
        <v>7</v>
      </c>
      <c r="L666" s="280">
        <v>5.5</v>
      </c>
      <c r="M666" s="281">
        <v>5.5</v>
      </c>
    </row>
    <row r="667" spans="1:13" ht="14.25">
      <c r="A667" s="274">
        <v>11280</v>
      </c>
      <c r="B667" s="275" t="s">
        <v>280</v>
      </c>
      <c r="C667" s="275" t="s">
        <v>1105</v>
      </c>
      <c r="D667" s="275" t="s">
        <v>1097</v>
      </c>
      <c r="E667" s="276">
        <v>1</v>
      </c>
      <c r="F667" s="276" t="s">
        <v>116</v>
      </c>
      <c r="G667" s="276">
        <v>0</v>
      </c>
      <c r="H667" s="276">
        <v>0</v>
      </c>
      <c r="I667" s="276">
        <v>2</v>
      </c>
      <c r="J667" s="276">
        <v>0</v>
      </c>
      <c r="K667" s="276">
        <v>2</v>
      </c>
      <c r="L667" s="276">
        <v>2</v>
      </c>
      <c r="M667" s="277">
        <v>2</v>
      </c>
    </row>
    <row r="668" spans="1:13" ht="14.25">
      <c r="A668" s="278">
        <v>11280</v>
      </c>
      <c r="B668" s="279" t="s">
        <v>280</v>
      </c>
      <c r="C668" s="279" t="s">
        <v>1106</v>
      </c>
      <c r="D668" s="279" t="s">
        <v>1099</v>
      </c>
      <c r="E668" s="280">
        <v>1</v>
      </c>
      <c r="F668" s="280" t="s">
        <v>116</v>
      </c>
      <c r="G668" s="280">
        <v>0</v>
      </c>
      <c r="H668" s="280">
        <v>0</v>
      </c>
      <c r="I668" s="280">
        <v>27</v>
      </c>
      <c r="J668" s="280">
        <v>0</v>
      </c>
      <c r="K668" s="280">
        <v>27</v>
      </c>
      <c r="L668" s="280">
        <v>27</v>
      </c>
      <c r="M668" s="281">
        <v>27</v>
      </c>
    </row>
    <row r="669" spans="1:13" ht="14.25">
      <c r="A669" s="274">
        <v>11280</v>
      </c>
      <c r="B669" s="275" t="s">
        <v>280</v>
      </c>
      <c r="C669" s="275" t="s">
        <v>63</v>
      </c>
      <c r="D669" s="275" t="s">
        <v>60</v>
      </c>
      <c r="E669" s="276">
        <v>1</v>
      </c>
      <c r="F669" s="276" t="s">
        <v>114</v>
      </c>
      <c r="G669" s="276">
        <v>0</v>
      </c>
      <c r="H669" s="276">
        <v>3</v>
      </c>
      <c r="I669" s="276">
        <v>3</v>
      </c>
      <c r="J669" s="276">
        <v>0</v>
      </c>
      <c r="K669" s="276">
        <v>6</v>
      </c>
      <c r="L669" s="276">
        <v>3</v>
      </c>
      <c r="M669" s="277">
        <v>3</v>
      </c>
    </row>
    <row r="670" spans="1:13" ht="14.25">
      <c r="A670" s="278">
        <v>11280</v>
      </c>
      <c r="B670" s="279" t="s">
        <v>280</v>
      </c>
      <c r="C670" s="279" t="s">
        <v>276</v>
      </c>
      <c r="D670" s="279" t="s">
        <v>70</v>
      </c>
      <c r="E670" s="280">
        <v>1</v>
      </c>
      <c r="F670" s="280" t="s">
        <v>116</v>
      </c>
      <c r="G670" s="280">
        <v>0</v>
      </c>
      <c r="H670" s="280">
        <v>1</v>
      </c>
      <c r="I670" s="280">
        <v>1</v>
      </c>
      <c r="J670" s="280">
        <v>0</v>
      </c>
      <c r="K670" s="280">
        <v>2</v>
      </c>
      <c r="L670" s="280">
        <v>1</v>
      </c>
      <c r="M670" s="281">
        <v>1</v>
      </c>
    </row>
    <row r="671" spans="1:13" ht="14.25">
      <c r="A671" s="274">
        <v>11280</v>
      </c>
      <c r="B671" s="275" t="s">
        <v>280</v>
      </c>
      <c r="C671" s="275" t="s">
        <v>276</v>
      </c>
      <c r="D671" s="275" t="s">
        <v>70</v>
      </c>
      <c r="E671" s="276">
        <v>1</v>
      </c>
      <c r="F671" s="276" t="s">
        <v>114</v>
      </c>
      <c r="G671" s="276">
        <v>0</v>
      </c>
      <c r="H671" s="276">
        <v>11</v>
      </c>
      <c r="I671" s="276">
        <v>21</v>
      </c>
      <c r="J671" s="276">
        <v>2</v>
      </c>
      <c r="K671" s="276">
        <v>34</v>
      </c>
      <c r="L671" s="276">
        <v>22</v>
      </c>
      <c r="M671" s="277">
        <v>22</v>
      </c>
    </row>
    <row r="672" spans="1:13" ht="14.25">
      <c r="A672" s="278">
        <v>11280</v>
      </c>
      <c r="B672" s="279" t="s">
        <v>280</v>
      </c>
      <c r="C672" s="279" t="s">
        <v>90</v>
      </c>
      <c r="D672" s="279" t="s">
        <v>91</v>
      </c>
      <c r="E672" s="280">
        <v>1.2</v>
      </c>
      <c r="F672" s="280" t="s">
        <v>116</v>
      </c>
      <c r="G672" s="280">
        <v>0</v>
      </c>
      <c r="H672" s="280">
        <v>0</v>
      </c>
      <c r="I672" s="280">
        <v>1</v>
      </c>
      <c r="J672" s="280">
        <v>0</v>
      </c>
      <c r="K672" s="280">
        <v>1</v>
      </c>
      <c r="L672" s="280">
        <v>1</v>
      </c>
      <c r="M672" s="281">
        <v>1.2</v>
      </c>
    </row>
    <row r="673" spans="1:13" ht="14.25">
      <c r="A673" s="274">
        <v>11280</v>
      </c>
      <c r="B673" s="275" t="s">
        <v>280</v>
      </c>
      <c r="C673" s="275" t="s">
        <v>90</v>
      </c>
      <c r="D673" s="275" t="s">
        <v>91</v>
      </c>
      <c r="E673" s="276">
        <v>1.2</v>
      </c>
      <c r="F673" s="276" t="s">
        <v>114</v>
      </c>
      <c r="G673" s="276">
        <v>0</v>
      </c>
      <c r="H673" s="276">
        <v>2</v>
      </c>
      <c r="I673" s="276">
        <v>28</v>
      </c>
      <c r="J673" s="276">
        <v>1</v>
      </c>
      <c r="K673" s="276">
        <v>31</v>
      </c>
      <c r="L673" s="276">
        <v>28.5</v>
      </c>
      <c r="M673" s="277">
        <v>34.2</v>
      </c>
    </row>
    <row r="674" spans="1:13" ht="14.25">
      <c r="A674" s="278">
        <v>11280</v>
      </c>
      <c r="B674" s="279" t="s">
        <v>280</v>
      </c>
      <c r="C674" s="279" t="s">
        <v>282</v>
      </c>
      <c r="D674" s="279" t="s">
        <v>279</v>
      </c>
      <c r="E674" s="280">
        <v>1</v>
      </c>
      <c r="F674" s="280" t="s">
        <v>116</v>
      </c>
      <c r="G674" s="280">
        <v>0</v>
      </c>
      <c r="H674" s="280">
        <v>0</v>
      </c>
      <c r="I674" s="280">
        <v>2</v>
      </c>
      <c r="J674" s="280">
        <v>0</v>
      </c>
      <c r="K674" s="280">
        <v>2</v>
      </c>
      <c r="L674" s="280">
        <v>2</v>
      </c>
      <c r="M674" s="281">
        <v>2</v>
      </c>
    </row>
    <row r="675" spans="1:13" ht="14.25">
      <c r="A675" s="274">
        <v>11280</v>
      </c>
      <c r="B675" s="275" t="s">
        <v>280</v>
      </c>
      <c r="C675" s="275" t="s">
        <v>282</v>
      </c>
      <c r="D675" s="275" t="s">
        <v>279</v>
      </c>
      <c r="E675" s="276">
        <v>1</v>
      </c>
      <c r="F675" s="276" t="s">
        <v>114</v>
      </c>
      <c r="G675" s="276">
        <v>0</v>
      </c>
      <c r="H675" s="276">
        <v>3</v>
      </c>
      <c r="I675" s="276">
        <v>51</v>
      </c>
      <c r="J675" s="276">
        <v>0</v>
      </c>
      <c r="K675" s="276">
        <v>54</v>
      </c>
      <c r="L675" s="276">
        <v>51</v>
      </c>
      <c r="M675" s="277">
        <v>51</v>
      </c>
    </row>
    <row r="676" spans="1:13" ht="14.25">
      <c r="A676" s="278">
        <v>11280</v>
      </c>
      <c r="B676" s="279" t="s">
        <v>280</v>
      </c>
      <c r="C676" s="279" t="s">
        <v>71</v>
      </c>
      <c r="D676" s="279" t="s">
        <v>70</v>
      </c>
      <c r="E676" s="280">
        <v>1</v>
      </c>
      <c r="F676" s="280" t="s">
        <v>119</v>
      </c>
      <c r="G676" s="280">
        <v>0</v>
      </c>
      <c r="H676" s="280">
        <v>0</v>
      </c>
      <c r="I676" s="280">
        <v>8</v>
      </c>
      <c r="J676" s="280">
        <v>0</v>
      </c>
      <c r="K676" s="280">
        <v>8</v>
      </c>
      <c r="L676" s="280">
        <v>8</v>
      </c>
      <c r="M676" s="281">
        <v>8</v>
      </c>
    </row>
    <row r="677" spans="1:13" ht="14.25">
      <c r="A677" s="274">
        <v>11280</v>
      </c>
      <c r="B677" s="275" t="s">
        <v>280</v>
      </c>
      <c r="C677" s="275" t="s">
        <v>71</v>
      </c>
      <c r="D677" s="275" t="s">
        <v>70</v>
      </c>
      <c r="E677" s="276">
        <v>1</v>
      </c>
      <c r="F677" s="276" t="s">
        <v>122</v>
      </c>
      <c r="G677" s="276">
        <v>0</v>
      </c>
      <c r="H677" s="276">
        <v>13</v>
      </c>
      <c r="I677" s="276">
        <v>16</v>
      </c>
      <c r="J677" s="276">
        <v>0</v>
      </c>
      <c r="K677" s="276">
        <v>29</v>
      </c>
      <c r="L677" s="276">
        <v>16</v>
      </c>
      <c r="M677" s="277">
        <v>16</v>
      </c>
    </row>
    <row r="678" spans="1:13" ht="9.75">
      <c r="A678" s="282">
        <v>11280</v>
      </c>
      <c r="B678" s="283" t="s">
        <v>163</v>
      </c>
      <c r="C678" s="283"/>
      <c r="D678" s="283"/>
      <c r="E678" s="283"/>
      <c r="F678" s="284" t="s">
        <v>132</v>
      </c>
      <c r="G678" s="284">
        <v>78</v>
      </c>
      <c r="H678" s="284">
        <v>15</v>
      </c>
      <c r="I678" s="284">
        <v>63</v>
      </c>
      <c r="J678" s="284">
        <v>1</v>
      </c>
      <c r="K678" s="284">
        <v>157</v>
      </c>
      <c r="L678" s="284"/>
      <c r="M678" s="1052"/>
    </row>
    <row r="679" spans="1:13" ht="9.75">
      <c r="A679" s="282">
        <v>11280</v>
      </c>
      <c r="B679" s="283" t="s">
        <v>163</v>
      </c>
      <c r="C679" s="283"/>
      <c r="D679" s="283"/>
      <c r="E679" s="283"/>
      <c r="F679" s="284" t="s">
        <v>109</v>
      </c>
      <c r="G679" s="284">
        <v>0</v>
      </c>
      <c r="H679" s="284">
        <v>70</v>
      </c>
      <c r="I679" s="284">
        <v>186</v>
      </c>
      <c r="J679" s="284">
        <v>5</v>
      </c>
      <c r="K679" s="284">
        <v>261</v>
      </c>
      <c r="L679" s="284"/>
      <c r="M679" s="1052"/>
    </row>
    <row r="680" spans="1:13" ht="9.75">
      <c r="A680" s="282">
        <v>11280</v>
      </c>
      <c r="B680" s="283" t="s">
        <v>163</v>
      </c>
      <c r="C680" s="283"/>
      <c r="D680" s="283"/>
      <c r="E680" s="283"/>
      <c r="F680" s="284" t="s">
        <v>110</v>
      </c>
      <c r="G680" s="284">
        <v>0</v>
      </c>
      <c r="H680" s="284">
        <v>0</v>
      </c>
      <c r="I680" s="284">
        <v>0</v>
      </c>
      <c r="J680" s="284">
        <v>0</v>
      </c>
      <c r="K680" s="284">
        <v>0</v>
      </c>
      <c r="L680" s="284"/>
      <c r="M680" s="1052"/>
    </row>
    <row r="681" spans="1:13" ht="9.75">
      <c r="A681" s="282">
        <v>11280</v>
      </c>
      <c r="B681" s="283" t="s">
        <v>163</v>
      </c>
      <c r="C681" s="283"/>
      <c r="D681" s="283"/>
      <c r="E681" s="283"/>
      <c r="F681" s="284" t="s">
        <v>113</v>
      </c>
      <c r="G681" s="284">
        <v>0</v>
      </c>
      <c r="H681" s="284">
        <v>0</v>
      </c>
      <c r="I681" s="284">
        <v>0</v>
      </c>
      <c r="J681" s="284">
        <v>0</v>
      </c>
      <c r="K681" s="284">
        <v>0</v>
      </c>
      <c r="L681" s="284"/>
      <c r="M681" s="1052"/>
    </row>
    <row r="682" spans="1:13" ht="9.75">
      <c r="A682" s="282">
        <v>11280</v>
      </c>
      <c r="B682" s="283" t="s">
        <v>163</v>
      </c>
      <c r="C682" s="283"/>
      <c r="D682" s="283"/>
      <c r="E682" s="283"/>
      <c r="F682" s="284" t="s">
        <v>116</v>
      </c>
      <c r="G682" s="284">
        <v>0</v>
      </c>
      <c r="H682" s="284">
        <v>3</v>
      </c>
      <c r="I682" s="284">
        <v>58</v>
      </c>
      <c r="J682" s="284">
        <v>1</v>
      </c>
      <c r="K682" s="284">
        <v>62</v>
      </c>
      <c r="L682" s="284"/>
      <c r="M682" s="1052"/>
    </row>
    <row r="683" spans="1:13" ht="9.75">
      <c r="A683" s="282">
        <v>11280</v>
      </c>
      <c r="B683" s="283" t="s">
        <v>163</v>
      </c>
      <c r="C683" s="283"/>
      <c r="D683" s="283"/>
      <c r="E683" s="283"/>
      <c r="F683" s="284" t="s">
        <v>114</v>
      </c>
      <c r="G683" s="284">
        <v>0</v>
      </c>
      <c r="H683" s="284">
        <v>19</v>
      </c>
      <c r="I683" s="284">
        <v>103</v>
      </c>
      <c r="J683" s="284">
        <v>3</v>
      </c>
      <c r="K683" s="284">
        <v>125</v>
      </c>
      <c r="L683" s="284"/>
      <c r="M683" s="1052"/>
    </row>
    <row r="684" spans="1:13" ht="9.75">
      <c r="A684" s="282">
        <v>11280</v>
      </c>
      <c r="B684" s="283" t="s">
        <v>163</v>
      </c>
      <c r="C684" s="283"/>
      <c r="D684" s="283"/>
      <c r="E684" s="283"/>
      <c r="F684" s="284" t="s">
        <v>119</v>
      </c>
      <c r="G684" s="284">
        <v>0</v>
      </c>
      <c r="H684" s="284">
        <v>0</v>
      </c>
      <c r="I684" s="284">
        <v>8</v>
      </c>
      <c r="J684" s="284">
        <v>0</v>
      </c>
      <c r="K684" s="284">
        <v>8</v>
      </c>
      <c r="L684" s="284"/>
      <c r="M684" s="1052"/>
    </row>
    <row r="685" spans="1:13" ht="9.75">
      <c r="A685" s="282">
        <v>11280</v>
      </c>
      <c r="B685" s="283" t="s">
        <v>163</v>
      </c>
      <c r="C685" s="283"/>
      <c r="D685" s="283"/>
      <c r="E685" s="283"/>
      <c r="F685" s="284" t="s">
        <v>122</v>
      </c>
      <c r="G685" s="284">
        <v>0</v>
      </c>
      <c r="H685" s="284">
        <v>13</v>
      </c>
      <c r="I685" s="284">
        <v>16</v>
      </c>
      <c r="J685" s="284">
        <v>0</v>
      </c>
      <c r="K685" s="284">
        <v>29</v>
      </c>
      <c r="L685" s="284"/>
      <c r="M685" s="1052"/>
    </row>
    <row r="686" spans="1:13" ht="14.25">
      <c r="A686" s="278">
        <v>11310</v>
      </c>
      <c r="B686" s="279" t="s">
        <v>283</v>
      </c>
      <c r="C686" s="279" t="s">
        <v>1107</v>
      </c>
      <c r="D686" s="279" t="s">
        <v>1108</v>
      </c>
      <c r="E686" s="280">
        <v>1.65</v>
      </c>
      <c r="F686" s="280" t="s">
        <v>132</v>
      </c>
      <c r="G686" s="280">
        <v>4</v>
      </c>
      <c r="H686" s="280">
        <v>0</v>
      </c>
      <c r="I686" s="280">
        <v>0</v>
      </c>
      <c r="J686" s="280">
        <v>0</v>
      </c>
      <c r="K686" s="280">
        <v>4</v>
      </c>
      <c r="L686" s="280">
        <v>4</v>
      </c>
      <c r="M686" s="281">
        <v>6.6</v>
      </c>
    </row>
    <row r="687" spans="1:13" ht="14.25">
      <c r="A687" s="274">
        <v>11310</v>
      </c>
      <c r="B687" s="275" t="s">
        <v>283</v>
      </c>
      <c r="C687" s="275" t="s">
        <v>1109</v>
      </c>
      <c r="D687" s="275" t="s">
        <v>74</v>
      </c>
      <c r="E687" s="276">
        <v>1.65</v>
      </c>
      <c r="F687" s="276" t="s">
        <v>132</v>
      </c>
      <c r="G687" s="276">
        <v>41</v>
      </c>
      <c r="H687" s="276">
        <v>0</v>
      </c>
      <c r="I687" s="276">
        <v>12</v>
      </c>
      <c r="J687" s="276">
        <v>0</v>
      </c>
      <c r="K687" s="276">
        <v>53</v>
      </c>
      <c r="L687" s="276">
        <v>53</v>
      </c>
      <c r="M687" s="277">
        <v>87.45</v>
      </c>
    </row>
    <row r="688" spans="1:13" ht="14.25">
      <c r="A688" s="278">
        <v>11310</v>
      </c>
      <c r="B688" s="279" t="s">
        <v>283</v>
      </c>
      <c r="C688" s="279" t="s">
        <v>1110</v>
      </c>
      <c r="D688" s="279" t="s">
        <v>291</v>
      </c>
      <c r="E688" s="280">
        <v>2.8</v>
      </c>
      <c r="F688" s="280" t="s">
        <v>132</v>
      </c>
      <c r="G688" s="280">
        <v>22</v>
      </c>
      <c r="H688" s="280">
        <v>0</v>
      </c>
      <c r="I688" s="280">
        <v>5</v>
      </c>
      <c r="J688" s="280">
        <v>0</v>
      </c>
      <c r="K688" s="280">
        <v>27</v>
      </c>
      <c r="L688" s="280">
        <v>27</v>
      </c>
      <c r="M688" s="281">
        <v>75.6</v>
      </c>
    </row>
    <row r="689" spans="1:13" ht="14.25">
      <c r="A689" s="274">
        <v>11310</v>
      </c>
      <c r="B689" s="275" t="s">
        <v>283</v>
      </c>
      <c r="C689" s="275" t="s">
        <v>1111</v>
      </c>
      <c r="D689" s="275" t="s">
        <v>1112</v>
      </c>
      <c r="E689" s="276">
        <v>2.8</v>
      </c>
      <c r="F689" s="276" t="s">
        <v>132</v>
      </c>
      <c r="G689" s="276">
        <v>36</v>
      </c>
      <c r="H689" s="276">
        <v>1</v>
      </c>
      <c r="I689" s="276">
        <v>7</v>
      </c>
      <c r="J689" s="276">
        <v>0</v>
      </c>
      <c r="K689" s="276">
        <v>44</v>
      </c>
      <c r="L689" s="276">
        <v>43</v>
      </c>
      <c r="M689" s="277">
        <v>120.4</v>
      </c>
    </row>
    <row r="690" spans="1:13" ht="14.25">
      <c r="A690" s="278">
        <v>11310</v>
      </c>
      <c r="B690" s="279" t="s">
        <v>283</v>
      </c>
      <c r="C690" s="279" t="s">
        <v>1113</v>
      </c>
      <c r="D690" s="279" t="s">
        <v>1114</v>
      </c>
      <c r="E690" s="280">
        <v>2.8</v>
      </c>
      <c r="F690" s="280" t="s">
        <v>132</v>
      </c>
      <c r="G690" s="280">
        <v>3</v>
      </c>
      <c r="H690" s="280">
        <v>0</v>
      </c>
      <c r="I690" s="280">
        <v>0</v>
      </c>
      <c r="J690" s="280">
        <v>0</v>
      </c>
      <c r="K690" s="280">
        <v>3</v>
      </c>
      <c r="L690" s="280">
        <v>3</v>
      </c>
      <c r="M690" s="281">
        <v>8.4</v>
      </c>
    </row>
    <row r="691" spans="1:13" ht="14.25">
      <c r="A691" s="274">
        <v>11310</v>
      </c>
      <c r="B691" s="275" t="s">
        <v>283</v>
      </c>
      <c r="C691" s="275" t="s">
        <v>1115</v>
      </c>
      <c r="D691" s="275" t="s">
        <v>1116</v>
      </c>
      <c r="E691" s="276">
        <v>2.25</v>
      </c>
      <c r="F691" s="276" t="s">
        <v>132</v>
      </c>
      <c r="G691" s="276">
        <v>14</v>
      </c>
      <c r="H691" s="276">
        <v>0</v>
      </c>
      <c r="I691" s="276">
        <v>1</v>
      </c>
      <c r="J691" s="276">
        <v>0</v>
      </c>
      <c r="K691" s="276">
        <v>15</v>
      </c>
      <c r="L691" s="276">
        <v>15</v>
      </c>
      <c r="M691" s="277">
        <v>33.75</v>
      </c>
    </row>
    <row r="692" spans="1:13" ht="14.25">
      <c r="A692" s="278">
        <v>11310</v>
      </c>
      <c r="B692" s="279" t="s">
        <v>283</v>
      </c>
      <c r="C692" s="279" t="s">
        <v>1117</v>
      </c>
      <c r="D692" s="279" t="s">
        <v>1118</v>
      </c>
      <c r="E692" s="280">
        <v>1.65</v>
      </c>
      <c r="F692" s="280" t="s">
        <v>132</v>
      </c>
      <c r="G692" s="280">
        <v>12</v>
      </c>
      <c r="H692" s="280">
        <v>0</v>
      </c>
      <c r="I692" s="280">
        <v>7</v>
      </c>
      <c r="J692" s="280">
        <v>0</v>
      </c>
      <c r="K692" s="280">
        <v>19</v>
      </c>
      <c r="L692" s="280">
        <v>19</v>
      </c>
      <c r="M692" s="281">
        <v>31.35</v>
      </c>
    </row>
    <row r="693" spans="1:13" ht="14.25">
      <c r="A693" s="274">
        <v>11310</v>
      </c>
      <c r="B693" s="275" t="s">
        <v>283</v>
      </c>
      <c r="C693" s="275" t="s">
        <v>1119</v>
      </c>
      <c r="D693" s="275" t="s">
        <v>300</v>
      </c>
      <c r="E693" s="276">
        <v>2.25</v>
      </c>
      <c r="F693" s="276" t="s">
        <v>132</v>
      </c>
      <c r="G693" s="276">
        <v>9</v>
      </c>
      <c r="H693" s="276">
        <v>0</v>
      </c>
      <c r="I693" s="276">
        <v>5</v>
      </c>
      <c r="J693" s="276">
        <v>0</v>
      </c>
      <c r="K693" s="276">
        <v>14</v>
      </c>
      <c r="L693" s="276">
        <v>14</v>
      </c>
      <c r="M693" s="277">
        <v>31.5</v>
      </c>
    </row>
    <row r="694" spans="1:13" ht="14.25">
      <c r="A694" s="278">
        <v>11310</v>
      </c>
      <c r="B694" s="279" t="s">
        <v>283</v>
      </c>
      <c r="C694" s="279" t="s">
        <v>284</v>
      </c>
      <c r="D694" s="279" t="s">
        <v>285</v>
      </c>
      <c r="E694" s="280">
        <v>2.25</v>
      </c>
      <c r="F694" s="280" t="s">
        <v>132</v>
      </c>
      <c r="G694" s="280">
        <v>79</v>
      </c>
      <c r="H694" s="280">
        <v>2</v>
      </c>
      <c r="I694" s="280">
        <v>57</v>
      </c>
      <c r="J694" s="280">
        <v>0</v>
      </c>
      <c r="K694" s="280">
        <v>138</v>
      </c>
      <c r="L694" s="280">
        <v>136</v>
      </c>
      <c r="M694" s="281">
        <v>306</v>
      </c>
    </row>
    <row r="695" spans="1:13" ht="14.25">
      <c r="A695" s="274">
        <v>11310</v>
      </c>
      <c r="B695" s="275" t="s">
        <v>283</v>
      </c>
      <c r="C695" s="275" t="s">
        <v>284</v>
      </c>
      <c r="D695" s="275" t="s">
        <v>285</v>
      </c>
      <c r="E695" s="276">
        <v>2.25</v>
      </c>
      <c r="F695" s="276" t="s">
        <v>109</v>
      </c>
      <c r="G695" s="276">
        <v>0</v>
      </c>
      <c r="H695" s="276">
        <v>11</v>
      </c>
      <c r="I695" s="276">
        <v>110</v>
      </c>
      <c r="J695" s="276">
        <v>0</v>
      </c>
      <c r="K695" s="276">
        <v>121</v>
      </c>
      <c r="L695" s="276">
        <v>110</v>
      </c>
      <c r="M695" s="277">
        <v>247.5</v>
      </c>
    </row>
    <row r="696" spans="1:13" ht="14.25">
      <c r="A696" s="278">
        <v>11310</v>
      </c>
      <c r="B696" s="279" t="s">
        <v>283</v>
      </c>
      <c r="C696" s="279" t="s">
        <v>286</v>
      </c>
      <c r="D696" s="279" t="s">
        <v>287</v>
      </c>
      <c r="E696" s="280">
        <v>1.65</v>
      </c>
      <c r="F696" s="280" t="s">
        <v>132</v>
      </c>
      <c r="G696" s="280">
        <v>48</v>
      </c>
      <c r="H696" s="280">
        <v>1</v>
      </c>
      <c r="I696" s="280">
        <v>13</v>
      </c>
      <c r="J696" s="280">
        <v>0</v>
      </c>
      <c r="K696" s="280">
        <v>62</v>
      </c>
      <c r="L696" s="280">
        <v>61</v>
      </c>
      <c r="M696" s="281">
        <v>100.65</v>
      </c>
    </row>
    <row r="697" spans="1:13" ht="14.25">
      <c r="A697" s="274">
        <v>11310</v>
      </c>
      <c r="B697" s="275" t="s">
        <v>283</v>
      </c>
      <c r="C697" s="275" t="s">
        <v>286</v>
      </c>
      <c r="D697" s="275" t="s">
        <v>287</v>
      </c>
      <c r="E697" s="276">
        <v>1.65</v>
      </c>
      <c r="F697" s="276" t="s">
        <v>109</v>
      </c>
      <c r="G697" s="276">
        <v>0</v>
      </c>
      <c r="H697" s="276">
        <v>12</v>
      </c>
      <c r="I697" s="276">
        <v>107</v>
      </c>
      <c r="J697" s="276">
        <v>3</v>
      </c>
      <c r="K697" s="276">
        <v>122</v>
      </c>
      <c r="L697" s="276">
        <v>108.5</v>
      </c>
      <c r="M697" s="277">
        <v>179.03</v>
      </c>
    </row>
    <row r="698" spans="1:13" ht="14.25">
      <c r="A698" s="278">
        <v>11310</v>
      </c>
      <c r="B698" s="279" t="s">
        <v>283</v>
      </c>
      <c r="C698" s="279" t="s">
        <v>288</v>
      </c>
      <c r="D698" s="279" t="s">
        <v>74</v>
      </c>
      <c r="E698" s="280">
        <v>1.65</v>
      </c>
      <c r="F698" s="280" t="s">
        <v>109</v>
      </c>
      <c r="G698" s="280">
        <v>0</v>
      </c>
      <c r="H698" s="280">
        <v>12</v>
      </c>
      <c r="I698" s="280">
        <v>50</v>
      </c>
      <c r="J698" s="280">
        <v>0</v>
      </c>
      <c r="K698" s="280">
        <v>62</v>
      </c>
      <c r="L698" s="280">
        <v>50</v>
      </c>
      <c r="M698" s="281">
        <v>82.5</v>
      </c>
    </row>
    <row r="699" spans="1:13" ht="14.25">
      <c r="A699" s="274">
        <v>11310</v>
      </c>
      <c r="B699" s="275" t="s">
        <v>283</v>
      </c>
      <c r="C699" s="275" t="s">
        <v>289</v>
      </c>
      <c r="D699" s="275" t="s">
        <v>220</v>
      </c>
      <c r="E699" s="276">
        <v>2.8</v>
      </c>
      <c r="F699" s="276" t="s">
        <v>132</v>
      </c>
      <c r="G699" s="276">
        <v>39</v>
      </c>
      <c r="H699" s="276">
        <v>0</v>
      </c>
      <c r="I699" s="276">
        <v>6</v>
      </c>
      <c r="J699" s="276">
        <v>0</v>
      </c>
      <c r="K699" s="276">
        <v>45</v>
      </c>
      <c r="L699" s="276">
        <v>45</v>
      </c>
      <c r="M699" s="277">
        <v>126</v>
      </c>
    </row>
    <row r="700" spans="1:13" ht="14.25">
      <c r="A700" s="278">
        <v>11310</v>
      </c>
      <c r="B700" s="279" t="s">
        <v>283</v>
      </c>
      <c r="C700" s="279" t="s">
        <v>289</v>
      </c>
      <c r="D700" s="279" t="s">
        <v>220</v>
      </c>
      <c r="E700" s="280">
        <v>2.8</v>
      </c>
      <c r="F700" s="280" t="s">
        <v>109</v>
      </c>
      <c r="G700" s="280">
        <v>0</v>
      </c>
      <c r="H700" s="280">
        <v>11</v>
      </c>
      <c r="I700" s="280">
        <v>80</v>
      </c>
      <c r="J700" s="280">
        <v>1</v>
      </c>
      <c r="K700" s="280">
        <v>92</v>
      </c>
      <c r="L700" s="280">
        <v>80.5</v>
      </c>
      <c r="M700" s="281">
        <v>225.4</v>
      </c>
    </row>
    <row r="701" spans="1:13" ht="14.25">
      <c r="A701" s="274">
        <v>11310</v>
      </c>
      <c r="B701" s="275" t="s">
        <v>283</v>
      </c>
      <c r="C701" s="275" t="s">
        <v>290</v>
      </c>
      <c r="D701" s="275" t="s">
        <v>291</v>
      </c>
      <c r="E701" s="276">
        <v>2.8</v>
      </c>
      <c r="F701" s="276" t="s">
        <v>132</v>
      </c>
      <c r="G701" s="276">
        <v>11</v>
      </c>
      <c r="H701" s="276">
        <v>0</v>
      </c>
      <c r="I701" s="276">
        <v>9</v>
      </c>
      <c r="J701" s="276">
        <v>1</v>
      </c>
      <c r="K701" s="276">
        <v>21</v>
      </c>
      <c r="L701" s="276">
        <v>20.5</v>
      </c>
      <c r="M701" s="277">
        <v>57.4</v>
      </c>
    </row>
    <row r="702" spans="1:13" ht="14.25">
      <c r="A702" s="278">
        <v>11310</v>
      </c>
      <c r="B702" s="279" t="s">
        <v>283</v>
      </c>
      <c r="C702" s="279" t="s">
        <v>290</v>
      </c>
      <c r="D702" s="279" t="s">
        <v>291</v>
      </c>
      <c r="E702" s="280">
        <v>2.8</v>
      </c>
      <c r="F702" s="280" t="s">
        <v>109</v>
      </c>
      <c r="G702" s="280">
        <v>0</v>
      </c>
      <c r="H702" s="280">
        <v>11</v>
      </c>
      <c r="I702" s="280">
        <v>119</v>
      </c>
      <c r="J702" s="280">
        <v>1</v>
      </c>
      <c r="K702" s="280">
        <v>131</v>
      </c>
      <c r="L702" s="280">
        <v>119.5</v>
      </c>
      <c r="M702" s="281">
        <v>334.6</v>
      </c>
    </row>
    <row r="703" spans="1:13" ht="14.25">
      <c r="A703" s="274">
        <v>11310</v>
      </c>
      <c r="B703" s="275" t="s">
        <v>283</v>
      </c>
      <c r="C703" s="275" t="s">
        <v>292</v>
      </c>
      <c r="D703" s="275" t="s">
        <v>293</v>
      </c>
      <c r="E703" s="276">
        <v>2.8</v>
      </c>
      <c r="F703" s="276" t="s">
        <v>132</v>
      </c>
      <c r="G703" s="276">
        <v>29</v>
      </c>
      <c r="H703" s="276">
        <v>0</v>
      </c>
      <c r="I703" s="276">
        <v>10</v>
      </c>
      <c r="J703" s="276">
        <v>0</v>
      </c>
      <c r="K703" s="276">
        <v>39</v>
      </c>
      <c r="L703" s="276">
        <v>39</v>
      </c>
      <c r="M703" s="277">
        <v>109.2</v>
      </c>
    </row>
    <row r="704" spans="1:13" ht="14.25">
      <c r="A704" s="278">
        <v>11310</v>
      </c>
      <c r="B704" s="279" t="s">
        <v>283</v>
      </c>
      <c r="C704" s="279" t="s">
        <v>292</v>
      </c>
      <c r="D704" s="279" t="s">
        <v>293</v>
      </c>
      <c r="E704" s="280">
        <v>2.8</v>
      </c>
      <c r="F704" s="280" t="s">
        <v>109</v>
      </c>
      <c r="G704" s="280">
        <v>0</v>
      </c>
      <c r="H704" s="280">
        <v>9</v>
      </c>
      <c r="I704" s="280">
        <v>64</v>
      </c>
      <c r="J704" s="280">
        <v>1</v>
      </c>
      <c r="K704" s="280">
        <v>74</v>
      </c>
      <c r="L704" s="280">
        <v>64.5</v>
      </c>
      <c r="M704" s="281">
        <v>180.6</v>
      </c>
    </row>
    <row r="705" spans="1:13" ht="14.25">
      <c r="A705" s="274">
        <v>11310</v>
      </c>
      <c r="B705" s="275" t="s">
        <v>283</v>
      </c>
      <c r="C705" s="275" t="s">
        <v>294</v>
      </c>
      <c r="D705" s="275" t="s">
        <v>295</v>
      </c>
      <c r="E705" s="276">
        <v>2.25</v>
      </c>
      <c r="F705" s="276" t="s">
        <v>132</v>
      </c>
      <c r="G705" s="276">
        <v>200</v>
      </c>
      <c r="H705" s="276">
        <v>3</v>
      </c>
      <c r="I705" s="276">
        <v>79</v>
      </c>
      <c r="J705" s="276">
        <v>1</v>
      </c>
      <c r="K705" s="276">
        <v>283</v>
      </c>
      <c r="L705" s="276">
        <v>279.5</v>
      </c>
      <c r="M705" s="277">
        <v>628.88</v>
      </c>
    </row>
    <row r="706" spans="1:13" ht="14.25">
      <c r="A706" s="278">
        <v>11310</v>
      </c>
      <c r="B706" s="279" t="s">
        <v>283</v>
      </c>
      <c r="C706" s="279" t="s">
        <v>294</v>
      </c>
      <c r="D706" s="279" t="s">
        <v>295</v>
      </c>
      <c r="E706" s="280">
        <v>2.25</v>
      </c>
      <c r="F706" s="280" t="s">
        <v>109</v>
      </c>
      <c r="G706" s="280">
        <v>0</v>
      </c>
      <c r="H706" s="280">
        <v>54</v>
      </c>
      <c r="I706" s="280">
        <v>379</v>
      </c>
      <c r="J706" s="280">
        <v>8</v>
      </c>
      <c r="K706" s="280">
        <v>441</v>
      </c>
      <c r="L706" s="280">
        <v>383</v>
      </c>
      <c r="M706" s="281">
        <v>861.75</v>
      </c>
    </row>
    <row r="707" spans="1:13" ht="14.25">
      <c r="A707" s="274">
        <v>11310</v>
      </c>
      <c r="B707" s="275" t="s">
        <v>283</v>
      </c>
      <c r="C707" s="275" t="s">
        <v>296</v>
      </c>
      <c r="D707" s="275" t="s">
        <v>273</v>
      </c>
      <c r="E707" s="276">
        <v>1.65</v>
      </c>
      <c r="F707" s="276" t="s">
        <v>132</v>
      </c>
      <c r="G707" s="276">
        <v>56</v>
      </c>
      <c r="H707" s="276">
        <v>1</v>
      </c>
      <c r="I707" s="276">
        <v>16</v>
      </c>
      <c r="J707" s="276">
        <v>0</v>
      </c>
      <c r="K707" s="276">
        <v>73</v>
      </c>
      <c r="L707" s="276">
        <v>72</v>
      </c>
      <c r="M707" s="277">
        <v>118.8</v>
      </c>
    </row>
    <row r="708" spans="1:13" ht="14.25">
      <c r="A708" s="278">
        <v>11310</v>
      </c>
      <c r="B708" s="279" t="s">
        <v>283</v>
      </c>
      <c r="C708" s="279" t="s">
        <v>296</v>
      </c>
      <c r="D708" s="279" t="s">
        <v>273</v>
      </c>
      <c r="E708" s="280">
        <v>1.65</v>
      </c>
      <c r="F708" s="280" t="s">
        <v>109</v>
      </c>
      <c r="G708" s="280">
        <v>0</v>
      </c>
      <c r="H708" s="280">
        <v>2</v>
      </c>
      <c r="I708" s="280">
        <v>31</v>
      </c>
      <c r="J708" s="280">
        <v>1</v>
      </c>
      <c r="K708" s="280">
        <v>34</v>
      </c>
      <c r="L708" s="280">
        <v>31.5</v>
      </c>
      <c r="M708" s="281">
        <v>51.98</v>
      </c>
    </row>
    <row r="709" spans="1:13" ht="14.25">
      <c r="A709" s="274">
        <v>11310</v>
      </c>
      <c r="B709" s="275" t="s">
        <v>283</v>
      </c>
      <c r="C709" s="275" t="s">
        <v>297</v>
      </c>
      <c r="D709" s="275" t="s">
        <v>298</v>
      </c>
      <c r="E709" s="276">
        <v>2.8</v>
      </c>
      <c r="F709" s="276" t="s">
        <v>132</v>
      </c>
      <c r="G709" s="276">
        <v>82</v>
      </c>
      <c r="H709" s="276">
        <v>2</v>
      </c>
      <c r="I709" s="276">
        <v>36</v>
      </c>
      <c r="J709" s="276">
        <v>1</v>
      </c>
      <c r="K709" s="276">
        <v>121</v>
      </c>
      <c r="L709" s="276">
        <v>118.5</v>
      </c>
      <c r="M709" s="277">
        <v>331.8</v>
      </c>
    </row>
    <row r="710" spans="1:13" ht="14.25">
      <c r="A710" s="278">
        <v>11310</v>
      </c>
      <c r="B710" s="279" t="s">
        <v>283</v>
      </c>
      <c r="C710" s="279" t="s">
        <v>297</v>
      </c>
      <c r="D710" s="279" t="s">
        <v>298</v>
      </c>
      <c r="E710" s="280">
        <v>2.8</v>
      </c>
      <c r="F710" s="280" t="s">
        <v>109</v>
      </c>
      <c r="G710" s="280">
        <v>0</v>
      </c>
      <c r="H710" s="280">
        <v>25</v>
      </c>
      <c r="I710" s="280">
        <v>251</v>
      </c>
      <c r="J710" s="280">
        <v>3</v>
      </c>
      <c r="K710" s="280">
        <v>279</v>
      </c>
      <c r="L710" s="280">
        <v>252.5</v>
      </c>
      <c r="M710" s="281">
        <v>707</v>
      </c>
    </row>
    <row r="711" spans="1:13" ht="14.25">
      <c r="A711" s="274">
        <v>11310</v>
      </c>
      <c r="B711" s="275" t="s">
        <v>283</v>
      </c>
      <c r="C711" s="275" t="s">
        <v>299</v>
      </c>
      <c r="D711" s="275" t="s">
        <v>300</v>
      </c>
      <c r="E711" s="276">
        <v>2.25</v>
      </c>
      <c r="F711" s="276" t="s">
        <v>109</v>
      </c>
      <c r="G711" s="276">
        <v>0</v>
      </c>
      <c r="H711" s="276">
        <v>4</v>
      </c>
      <c r="I711" s="276">
        <v>23</v>
      </c>
      <c r="J711" s="276">
        <v>0</v>
      </c>
      <c r="K711" s="276">
        <v>27</v>
      </c>
      <c r="L711" s="276">
        <v>23</v>
      </c>
      <c r="M711" s="277">
        <v>51.75</v>
      </c>
    </row>
    <row r="712" spans="1:13" ht="14.25">
      <c r="A712" s="278">
        <v>11310</v>
      </c>
      <c r="B712" s="279" t="s">
        <v>283</v>
      </c>
      <c r="C712" s="279" t="s">
        <v>663</v>
      </c>
      <c r="D712" s="279" t="s">
        <v>664</v>
      </c>
      <c r="E712" s="280">
        <v>2.25</v>
      </c>
      <c r="F712" s="280" t="s">
        <v>132</v>
      </c>
      <c r="G712" s="280">
        <v>8</v>
      </c>
      <c r="H712" s="280">
        <v>1</v>
      </c>
      <c r="I712" s="280">
        <v>10</v>
      </c>
      <c r="J712" s="280">
        <v>0</v>
      </c>
      <c r="K712" s="280">
        <v>19</v>
      </c>
      <c r="L712" s="280">
        <v>18</v>
      </c>
      <c r="M712" s="281">
        <v>40.5</v>
      </c>
    </row>
    <row r="713" spans="1:13" ht="14.25">
      <c r="A713" s="274">
        <v>11310</v>
      </c>
      <c r="B713" s="275" t="s">
        <v>283</v>
      </c>
      <c r="C713" s="275" t="s">
        <v>663</v>
      </c>
      <c r="D713" s="275" t="s">
        <v>664</v>
      </c>
      <c r="E713" s="276">
        <v>2.25</v>
      </c>
      <c r="F713" s="276" t="s">
        <v>109</v>
      </c>
      <c r="G713" s="276">
        <v>0</v>
      </c>
      <c r="H713" s="276">
        <v>0</v>
      </c>
      <c r="I713" s="276">
        <v>12</v>
      </c>
      <c r="J713" s="276">
        <v>0</v>
      </c>
      <c r="K713" s="276">
        <v>12</v>
      </c>
      <c r="L713" s="276">
        <v>12</v>
      </c>
      <c r="M713" s="277">
        <v>27</v>
      </c>
    </row>
    <row r="714" spans="1:13" ht="14.25">
      <c r="A714" s="278">
        <v>11310</v>
      </c>
      <c r="B714" s="279" t="s">
        <v>283</v>
      </c>
      <c r="C714" s="279" t="s">
        <v>665</v>
      </c>
      <c r="D714" s="279" t="s">
        <v>666</v>
      </c>
      <c r="E714" s="280">
        <v>2.25</v>
      </c>
      <c r="F714" s="280" t="s">
        <v>132</v>
      </c>
      <c r="G714" s="280">
        <v>2</v>
      </c>
      <c r="H714" s="280">
        <v>0</v>
      </c>
      <c r="I714" s="280">
        <v>2</v>
      </c>
      <c r="J714" s="280">
        <v>0</v>
      </c>
      <c r="K714" s="280">
        <v>4</v>
      </c>
      <c r="L714" s="280">
        <v>4</v>
      </c>
      <c r="M714" s="281">
        <v>9</v>
      </c>
    </row>
    <row r="715" spans="1:13" ht="14.25">
      <c r="A715" s="274">
        <v>11310</v>
      </c>
      <c r="B715" s="275" t="s">
        <v>283</v>
      </c>
      <c r="C715" s="275" t="s">
        <v>665</v>
      </c>
      <c r="D715" s="275" t="s">
        <v>666</v>
      </c>
      <c r="E715" s="276">
        <v>2.25</v>
      </c>
      <c r="F715" s="276" t="s">
        <v>109</v>
      </c>
      <c r="G715" s="276">
        <v>0</v>
      </c>
      <c r="H715" s="276">
        <v>0</v>
      </c>
      <c r="I715" s="276">
        <v>5</v>
      </c>
      <c r="J715" s="276">
        <v>0</v>
      </c>
      <c r="K715" s="276">
        <v>5</v>
      </c>
      <c r="L715" s="276">
        <v>5</v>
      </c>
      <c r="M715" s="277">
        <v>11.25</v>
      </c>
    </row>
    <row r="716" spans="1:13" ht="14.25">
      <c r="A716" s="278">
        <v>11310</v>
      </c>
      <c r="B716" s="279" t="s">
        <v>283</v>
      </c>
      <c r="C716" s="279" t="s">
        <v>1120</v>
      </c>
      <c r="D716" s="279" t="s">
        <v>1121</v>
      </c>
      <c r="E716" s="280">
        <v>2.25</v>
      </c>
      <c r="F716" s="280" t="s">
        <v>116</v>
      </c>
      <c r="G716" s="280">
        <v>0</v>
      </c>
      <c r="H716" s="280">
        <v>0</v>
      </c>
      <c r="I716" s="280">
        <v>12</v>
      </c>
      <c r="J716" s="280">
        <v>0</v>
      </c>
      <c r="K716" s="280">
        <v>12</v>
      </c>
      <c r="L716" s="280">
        <v>12</v>
      </c>
      <c r="M716" s="281">
        <v>27</v>
      </c>
    </row>
    <row r="717" spans="1:13" ht="14.25">
      <c r="A717" s="274">
        <v>11310</v>
      </c>
      <c r="B717" s="275" t="s">
        <v>283</v>
      </c>
      <c r="C717" s="275" t="s">
        <v>1122</v>
      </c>
      <c r="D717" s="275" t="s">
        <v>1123</v>
      </c>
      <c r="E717" s="276">
        <v>2.25</v>
      </c>
      <c r="F717" s="276" t="s">
        <v>116</v>
      </c>
      <c r="G717" s="276">
        <v>0</v>
      </c>
      <c r="H717" s="276">
        <v>0</v>
      </c>
      <c r="I717" s="276">
        <v>3</v>
      </c>
      <c r="J717" s="276">
        <v>0</v>
      </c>
      <c r="K717" s="276">
        <v>3</v>
      </c>
      <c r="L717" s="276">
        <v>3</v>
      </c>
      <c r="M717" s="277">
        <v>6.75</v>
      </c>
    </row>
    <row r="718" spans="1:13" ht="14.25">
      <c r="A718" s="278">
        <v>11310</v>
      </c>
      <c r="B718" s="279" t="s">
        <v>283</v>
      </c>
      <c r="C718" s="279" t="s">
        <v>1124</v>
      </c>
      <c r="D718" s="279" t="s">
        <v>1112</v>
      </c>
      <c r="E718" s="280">
        <v>2.8</v>
      </c>
      <c r="F718" s="280" t="s">
        <v>116</v>
      </c>
      <c r="G718" s="280">
        <v>0</v>
      </c>
      <c r="H718" s="280">
        <v>0</v>
      </c>
      <c r="I718" s="280">
        <v>2</v>
      </c>
      <c r="J718" s="280">
        <v>0</v>
      </c>
      <c r="K718" s="280">
        <v>2</v>
      </c>
      <c r="L718" s="280">
        <v>2</v>
      </c>
      <c r="M718" s="281">
        <v>5.6</v>
      </c>
    </row>
    <row r="719" spans="1:13" ht="14.25">
      <c r="A719" s="274">
        <v>11310</v>
      </c>
      <c r="B719" s="275" t="s">
        <v>283</v>
      </c>
      <c r="C719" s="275" t="s">
        <v>1125</v>
      </c>
      <c r="D719" s="275" t="s">
        <v>1114</v>
      </c>
      <c r="E719" s="276">
        <v>2.8</v>
      </c>
      <c r="F719" s="276" t="s">
        <v>116</v>
      </c>
      <c r="G719" s="276">
        <v>0</v>
      </c>
      <c r="H719" s="276">
        <v>0</v>
      </c>
      <c r="I719" s="276">
        <v>1</v>
      </c>
      <c r="J719" s="276">
        <v>0</v>
      </c>
      <c r="K719" s="276">
        <v>1</v>
      </c>
      <c r="L719" s="276">
        <v>1</v>
      </c>
      <c r="M719" s="277">
        <v>2.8</v>
      </c>
    </row>
    <row r="720" spans="1:13" ht="14.25">
      <c r="A720" s="278">
        <v>11310</v>
      </c>
      <c r="B720" s="279" t="s">
        <v>283</v>
      </c>
      <c r="C720" s="279" t="s">
        <v>1126</v>
      </c>
      <c r="D720" s="279" t="s">
        <v>1127</v>
      </c>
      <c r="E720" s="280">
        <v>2.25</v>
      </c>
      <c r="F720" s="280" t="s">
        <v>116</v>
      </c>
      <c r="G720" s="280">
        <v>0</v>
      </c>
      <c r="H720" s="280">
        <v>0</v>
      </c>
      <c r="I720" s="280">
        <v>4</v>
      </c>
      <c r="J720" s="280">
        <v>0</v>
      </c>
      <c r="K720" s="280">
        <v>4</v>
      </c>
      <c r="L720" s="280">
        <v>4</v>
      </c>
      <c r="M720" s="281">
        <v>9</v>
      </c>
    </row>
    <row r="721" spans="1:13" ht="14.25">
      <c r="A721" s="274">
        <v>11310</v>
      </c>
      <c r="B721" s="275" t="s">
        <v>283</v>
      </c>
      <c r="C721" s="275" t="s">
        <v>1128</v>
      </c>
      <c r="D721" s="275" t="s">
        <v>1129</v>
      </c>
      <c r="E721" s="276">
        <v>2.25</v>
      </c>
      <c r="F721" s="276" t="s">
        <v>116</v>
      </c>
      <c r="G721" s="276">
        <v>0</v>
      </c>
      <c r="H721" s="276">
        <v>0</v>
      </c>
      <c r="I721" s="276">
        <v>18</v>
      </c>
      <c r="J721" s="276">
        <v>0</v>
      </c>
      <c r="K721" s="276">
        <v>18</v>
      </c>
      <c r="L721" s="276">
        <v>18</v>
      </c>
      <c r="M721" s="277">
        <v>40.5</v>
      </c>
    </row>
    <row r="722" spans="1:13" ht="14.25">
      <c r="A722" s="278">
        <v>11310</v>
      </c>
      <c r="B722" s="279" t="s">
        <v>283</v>
      </c>
      <c r="C722" s="279" t="s">
        <v>1130</v>
      </c>
      <c r="D722" s="279" t="s">
        <v>300</v>
      </c>
      <c r="E722" s="280">
        <v>2.25</v>
      </c>
      <c r="F722" s="280" t="s">
        <v>116</v>
      </c>
      <c r="G722" s="280">
        <v>0</v>
      </c>
      <c r="H722" s="280">
        <v>0</v>
      </c>
      <c r="I722" s="280">
        <v>3</v>
      </c>
      <c r="J722" s="280">
        <v>0</v>
      </c>
      <c r="K722" s="280">
        <v>3</v>
      </c>
      <c r="L722" s="280">
        <v>3</v>
      </c>
      <c r="M722" s="281">
        <v>6.75</v>
      </c>
    </row>
    <row r="723" spans="1:13" ht="14.25">
      <c r="A723" s="274">
        <v>11310</v>
      </c>
      <c r="B723" s="275" t="s">
        <v>283</v>
      </c>
      <c r="C723" s="275" t="s">
        <v>301</v>
      </c>
      <c r="D723" s="275" t="s">
        <v>285</v>
      </c>
      <c r="E723" s="276">
        <v>2.25</v>
      </c>
      <c r="F723" s="276" t="s">
        <v>116</v>
      </c>
      <c r="G723" s="276">
        <v>0</v>
      </c>
      <c r="H723" s="276">
        <v>0</v>
      </c>
      <c r="I723" s="276">
        <v>18</v>
      </c>
      <c r="J723" s="276">
        <v>0</v>
      </c>
      <c r="K723" s="276">
        <v>18</v>
      </c>
      <c r="L723" s="276">
        <v>18</v>
      </c>
      <c r="M723" s="277">
        <v>40.5</v>
      </c>
    </row>
    <row r="724" spans="1:13" ht="14.25">
      <c r="A724" s="278">
        <v>11310</v>
      </c>
      <c r="B724" s="279" t="s">
        <v>283</v>
      </c>
      <c r="C724" s="279" t="s">
        <v>301</v>
      </c>
      <c r="D724" s="279" t="s">
        <v>285</v>
      </c>
      <c r="E724" s="280">
        <v>2.25</v>
      </c>
      <c r="F724" s="280" t="s">
        <v>114</v>
      </c>
      <c r="G724" s="280">
        <v>0</v>
      </c>
      <c r="H724" s="280">
        <v>4</v>
      </c>
      <c r="I724" s="280">
        <v>33</v>
      </c>
      <c r="J724" s="280">
        <v>0</v>
      </c>
      <c r="K724" s="280">
        <v>37</v>
      </c>
      <c r="L724" s="280">
        <v>33</v>
      </c>
      <c r="M724" s="281">
        <v>74.25</v>
      </c>
    </row>
    <row r="725" spans="1:13" ht="14.25">
      <c r="A725" s="274">
        <v>11310</v>
      </c>
      <c r="B725" s="275" t="s">
        <v>283</v>
      </c>
      <c r="C725" s="275" t="s">
        <v>302</v>
      </c>
      <c r="D725" s="275" t="s">
        <v>287</v>
      </c>
      <c r="E725" s="276">
        <v>1.65</v>
      </c>
      <c r="F725" s="276" t="s">
        <v>116</v>
      </c>
      <c r="G725" s="276">
        <v>0</v>
      </c>
      <c r="H725" s="276">
        <v>1</v>
      </c>
      <c r="I725" s="276">
        <v>76</v>
      </c>
      <c r="J725" s="276">
        <v>0</v>
      </c>
      <c r="K725" s="276">
        <v>77</v>
      </c>
      <c r="L725" s="276">
        <v>76</v>
      </c>
      <c r="M725" s="277">
        <v>125.4</v>
      </c>
    </row>
    <row r="726" spans="1:13" ht="14.25">
      <c r="A726" s="278">
        <v>11310</v>
      </c>
      <c r="B726" s="279" t="s">
        <v>283</v>
      </c>
      <c r="C726" s="279" t="s">
        <v>302</v>
      </c>
      <c r="D726" s="279" t="s">
        <v>287</v>
      </c>
      <c r="E726" s="280">
        <v>1.65</v>
      </c>
      <c r="F726" s="280" t="s">
        <v>114</v>
      </c>
      <c r="G726" s="280">
        <v>0</v>
      </c>
      <c r="H726" s="280">
        <v>20</v>
      </c>
      <c r="I726" s="280">
        <v>98</v>
      </c>
      <c r="J726" s="280">
        <v>1</v>
      </c>
      <c r="K726" s="280">
        <v>119</v>
      </c>
      <c r="L726" s="280">
        <v>98.5</v>
      </c>
      <c r="M726" s="281">
        <v>162.53</v>
      </c>
    </row>
    <row r="727" spans="1:13" ht="14.25">
      <c r="A727" s="274">
        <v>11310</v>
      </c>
      <c r="B727" s="275" t="s">
        <v>283</v>
      </c>
      <c r="C727" s="275" t="s">
        <v>303</v>
      </c>
      <c r="D727" s="275" t="s">
        <v>74</v>
      </c>
      <c r="E727" s="276">
        <v>1.65</v>
      </c>
      <c r="F727" s="276" t="s">
        <v>116</v>
      </c>
      <c r="G727" s="276">
        <v>0</v>
      </c>
      <c r="H727" s="276">
        <v>0</v>
      </c>
      <c r="I727" s="276">
        <v>11</v>
      </c>
      <c r="J727" s="276">
        <v>0</v>
      </c>
      <c r="K727" s="276">
        <v>11</v>
      </c>
      <c r="L727" s="276">
        <v>11</v>
      </c>
      <c r="M727" s="277">
        <v>18.15</v>
      </c>
    </row>
    <row r="728" spans="1:13" ht="14.25">
      <c r="A728" s="278">
        <v>11310</v>
      </c>
      <c r="B728" s="279" t="s">
        <v>283</v>
      </c>
      <c r="C728" s="279" t="s">
        <v>303</v>
      </c>
      <c r="D728" s="279" t="s">
        <v>74</v>
      </c>
      <c r="E728" s="280">
        <v>1.65</v>
      </c>
      <c r="F728" s="280" t="s">
        <v>114</v>
      </c>
      <c r="G728" s="280">
        <v>0</v>
      </c>
      <c r="H728" s="280">
        <v>8</v>
      </c>
      <c r="I728" s="280">
        <v>23</v>
      </c>
      <c r="J728" s="280">
        <v>0</v>
      </c>
      <c r="K728" s="280">
        <v>31</v>
      </c>
      <c r="L728" s="280">
        <v>23</v>
      </c>
      <c r="M728" s="281">
        <v>37.95</v>
      </c>
    </row>
    <row r="729" spans="1:13" ht="14.25">
      <c r="A729" s="274">
        <v>11310</v>
      </c>
      <c r="B729" s="275" t="s">
        <v>283</v>
      </c>
      <c r="C729" s="275" t="s">
        <v>304</v>
      </c>
      <c r="D729" s="275" t="s">
        <v>220</v>
      </c>
      <c r="E729" s="276">
        <v>2.8</v>
      </c>
      <c r="F729" s="276" t="s">
        <v>116</v>
      </c>
      <c r="G729" s="276">
        <v>0</v>
      </c>
      <c r="H729" s="276">
        <v>0</v>
      </c>
      <c r="I729" s="276">
        <v>11</v>
      </c>
      <c r="J729" s="276">
        <v>0</v>
      </c>
      <c r="K729" s="276">
        <v>11</v>
      </c>
      <c r="L729" s="276">
        <v>11</v>
      </c>
      <c r="M729" s="277">
        <v>30.8</v>
      </c>
    </row>
    <row r="730" spans="1:13" ht="14.25">
      <c r="A730" s="278">
        <v>11310</v>
      </c>
      <c r="B730" s="279" t="s">
        <v>283</v>
      </c>
      <c r="C730" s="279" t="s">
        <v>304</v>
      </c>
      <c r="D730" s="279" t="s">
        <v>220</v>
      </c>
      <c r="E730" s="280">
        <v>2.8</v>
      </c>
      <c r="F730" s="280" t="s">
        <v>114</v>
      </c>
      <c r="G730" s="280">
        <v>0</v>
      </c>
      <c r="H730" s="280">
        <v>0</v>
      </c>
      <c r="I730" s="280">
        <v>21</v>
      </c>
      <c r="J730" s="280">
        <v>0</v>
      </c>
      <c r="K730" s="280">
        <v>21</v>
      </c>
      <c r="L730" s="280">
        <v>21</v>
      </c>
      <c r="M730" s="281">
        <v>58.8</v>
      </c>
    </row>
    <row r="731" spans="1:13" ht="14.25">
      <c r="A731" s="274">
        <v>11310</v>
      </c>
      <c r="B731" s="275" t="s">
        <v>283</v>
      </c>
      <c r="C731" s="275" t="s">
        <v>305</v>
      </c>
      <c r="D731" s="275" t="s">
        <v>291</v>
      </c>
      <c r="E731" s="276">
        <v>2.8</v>
      </c>
      <c r="F731" s="276" t="s">
        <v>116</v>
      </c>
      <c r="G731" s="276">
        <v>0</v>
      </c>
      <c r="H731" s="276">
        <v>0</v>
      </c>
      <c r="I731" s="276">
        <v>42</v>
      </c>
      <c r="J731" s="276">
        <v>0</v>
      </c>
      <c r="K731" s="276">
        <v>42</v>
      </c>
      <c r="L731" s="276">
        <v>42</v>
      </c>
      <c r="M731" s="277">
        <v>117.6</v>
      </c>
    </row>
    <row r="732" spans="1:13" ht="14.25">
      <c r="A732" s="278">
        <v>11310</v>
      </c>
      <c r="B732" s="279" t="s">
        <v>283</v>
      </c>
      <c r="C732" s="279" t="s">
        <v>305</v>
      </c>
      <c r="D732" s="279" t="s">
        <v>291</v>
      </c>
      <c r="E732" s="280">
        <v>2.8</v>
      </c>
      <c r="F732" s="280" t="s">
        <v>114</v>
      </c>
      <c r="G732" s="280">
        <v>0</v>
      </c>
      <c r="H732" s="280">
        <v>2</v>
      </c>
      <c r="I732" s="280">
        <v>46</v>
      </c>
      <c r="J732" s="280">
        <v>1</v>
      </c>
      <c r="K732" s="280">
        <v>49</v>
      </c>
      <c r="L732" s="280">
        <v>46.5</v>
      </c>
      <c r="M732" s="281">
        <v>130.2</v>
      </c>
    </row>
    <row r="733" spans="1:13" ht="14.25">
      <c r="A733" s="274">
        <v>11310</v>
      </c>
      <c r="B733" s="275" t="s">
        <v>283</v>
      </c>
      <c r="C733" s="275" t="s">
        <v>306</v>
      </c>
      <c r="D733" s="275" t="s">
        <v>293</v>
      </c>
      <c r="E733" s="276">
        <v>2.8</v>
      </c>
      <c r="F733" s="276" t="s">
        <v>116</v>
      </c>
      <c r="G733" s="276">
        <v>0</v>
      </c>
      <c r="H733" s="276">
        <v>0</v>
      </c>
      <c r="I733" s="276">
        <v>13</v>
      </c>
      <c r="J733" s="276">
        <v>0</v>
      </c>
      <c r="K733" s="276">
        <v>13</v>
      </c>
      <c r="L733" s="276">
        <v>13</v>
      </c>
      <c r="M733" s="277">
        <v>36.4</v>
      </c>
    </row>
    <row r="734" spans="1:13" ht="14.25">
      <c r="A734" s="278">
        <v>11310</v>
      </c>
      <c r="B734" s="279" t="s">
        <v>283</v>
      </c>
      <c r="C734" s="279" t="s">
        <v>306</v>
      </c>
      <c r="D734" s="279" t="s">
        <v>293</v>
      </c>
      <c r="E734" s="280">
        <v>2.8</v>
      </c>
      <c r="F734" s="280" t="s">
        <v>114</v>
      </c>
      <c r="G734" s="280">
        <v>0</v>
      </c>
      <c r="H734" s="280">
        <v>0</v>
      </c>
      <c r="I734" s="280">
        <v>27</v>
      </c>
      <c r="J734" s="280">
        <v>0</v>
      </c>
      <c r="K734" s="280">
        <v>27</v>
      </c>
      <c r="L734" s="280">
        <v>27</v>
      </c>
      <c r="M734" s="281">
        <v>75.6</v>
      </c>
    </row>
    <row r="735" spans="1:13" ht="14.25">
      <c r="A735" s="274">
        <v>11310</v>
      </c>
      <c r="B735" s="275" t="s">
        <v>283</v>
      </c>
      <c r="C735" s="275" t="s">
        <v>307</v>
      </c>
      <c r="D735" s="275" t="s">
        <v>295</v>
      </c>
      <c r="E735" s="276">
        <v>2.25</v>
      </c>
      <c r="F735" s="276" t="s">
        <v>116</v>
      </c>
      <c r="G735" s="276">
        <v>0</v>
      </c>
      <c r="H735" s="276">
        <v>0</v>
      </c>
      <c r="I735" s="276">
        <v>211</v>
      </c>
      <c r="J735" s="276">
        <v>0</v>
      </c>
      <c r="K735" s="276">
        <v>211</v>
      </c>
      <c r="L735" s="276">
        <v>211</v>
      </c>
      <c r="M735" s="277">
        <v>474.75</v>
      </c>
    </row>
    <row r="736" spans="1:13" ht="14.25">
      <c r="A736" s="278">
        <v>11310</v>
      </c>
      <c r="B736" s="279" t="s">
        <v>283</v>
      </c>
      <c r="C736" s="279" t="s">
        <v>307</v>
      </c>
      <c r="D736" s="279" t="s">
        <v>295</v>
      </c>
      <c r="E736" s="280">
        <v>2.25</v>
      </c>
      <c r="F736" s="280" t="s">
        <v>114</v>
      </c>
      <c r="G736" s="280">
        <v>0</v>
      </c>
      <c r="H736" s="280">
        <v>22</v>
      </c>
      <c r="I736" s="280">
        <v>284</v>
      </c>
      <c r="J736" s="280">
        <v>1</v>
      </c>
      <c r="K736" s="280">
        <v>307</v>
      </c>
      <c r="L736" s="280">
        <v>284.5</v>
      </c>
      <c r="M736" s="281">
        <v>640.13</v>
      </c>
    </row>
    <row r="737" spans="1:13" ht="14.25">
      <c r="A737" s="274">
        <v>11310</v>
      </c>
      <c r="B737" s="275" t="s">
        <v>283</v>
      </c>
      <c r="C737" s="275" t="s">
        <v>272</v>
      </c>
      <c r="D737" s="275" t="s">
        <v>273</v>
      </c>
      <c r="E737" s="276">
        <v>1.65</v>
      </c>
      <c r="F737" s="276" t="s">
        <v>116</v>
      </c>
      <c r="G737" s="276">
        <v>0</v>
      </c>
      <c r="H737" s="276">
        <v>0</v>
      </c>
      <c r="I737" s="276">
        <v>22</v>
      </c>
      <c r="J737" s="276">
        <v>1</v>
      </c>
      <c r="K737" s="276">
        <v>23</v>
      </c>
      <c r="L737" s="276">
        <v>22.5</v>
      </c>
      <c r="M737" s="277">
        <v>37.13</v>
      </c>
    </row>
    <row r="738" spans="1:13" ht="14.25">
      <c r="A738" s="278">
        <v>11310</v>
      </c>
      <c r="B738" s="279" t="s">
        <v>283</v>
      </c>
      <c r="C738" s="279" t="s">
        <v>272</v>
      </c>
      <c r="D738" s="279" t="s">
        <v>273</v>
      </c>
      <c r="E738" s="280">
        <v>1.65</v>
      </c>
      <c r="F738" s="280" t="s">
        <v>114</v>
      </c>
      <c r="G738" s="280">
        <v>0</v>
      </c>
      <c r="H738" s="280">
        <v>2</v>
      </c>
      <c r="I738" s="280">
        <v>27</v>
      </c>
      <c r="J738" s="280">
        <v>0</v>
      </c>
      <c r="K738" s="280">
        <v>29</v>
      </c>
      <c r="L738" s="280">
        <v>27</v>
      </c>
      <c r="M738" s="281">
        <v>44.55</v>
      </c>
    </row>
    <row r="739" spans="1:13" ht="14.25">
      <c r="A739" s="274">
        <v>11310</v>
      </c>
      <c r="B739" s="275" t="s">
        <v>283</v>
      </c>
      <c r="C739" s="275" t="s">
        <v>667</v>
      </c>
      <c r="D739" s="275" t="s">
        <v>300</v>
      </c>
      <c r="E739" s="276">
        <v>2.25</v>
      </c>
      <c r="F739" s="276" t="s">
        <v>114</v>
      </c>
      <c r="G739" s="276">
        <v>0</v>
      </c>
      <c r="H739" s="276">
        <v>0</v>
      </c>
      <c r="I739" s="276">
        <v>6</v>
      </c>
      <c r="J739" s="276">
        <v>0</v>
      </c>
      <c r="K739" s="276">
        <v>6</v>
      </c>
      <c r="L739" s="276">
        <v>6</v>
      </c>
      <c r="M739" s="277">
        <v>13.5</v>
      </c>
    </row>
    <row r="740" spans="1:13" ht="14.25">
      <c r="A740" s="278">
        <v>11310</v>
      </c>
      <c r="B740" s="279" t="s">
        <v>283</v>
      </c>
      <c r="C740" s="279" t="s">
        <v>668</v>
      </c>
      <c r="D740" s="279" t="s">
        <v>664</v>
      </c>
      <c r="E740" s="280">
        <v>2.25</v>
      </c>
      <c r="F740" s="280" t="s">
        <v>116</v>
      </c>
      <c r="G740" s="280">
        <v>0</v>
      </c>
      <c r="H740" s="280">
        <v>0</v>
      </c>
      <c r="I740" s="280">
        <v>9</v>
      </c>
      <c r="J740" s="280">
        <v>0</v>
      </c>
      <c r="K740" s="280">
        <v>9</v>
      </c>
      <c r="L740" s="280">
        <v>9</v>
      </c>
      <c r="M740" s="281">
        <v>20.25</v>
      </c>
    </row>
    <row r="741" spans="1:13" ht="14.25">
      <c r="A741" s="274">
        <v>11310</v>
      </c>
      <c r="B741" s="275" t="s">
        <v>283</v>
      </c>
      <c r="C741" s="275" t="s">
        <v>668</v>
      </c>
      <c r="D741" s="275" t="s">
        <v>664</v>
      </c>
      <c r="E741" s="276">
        <v>2.25</v>
      </c>
      <c r="F741" s="276" t="s">
        <v>114</v>
      </c>
      <c r="G741" s="276">
        <v>0</v>
      </c>
      <c r="H741" s="276">
        <v>0</v>
      </c>
      <c r="I741" s="276">
        <v>8</v>
      </c>
      <c r="J741" s="276">
        <v>0</v>
      </c>
      <c r="K741" s="276">
        <v>8</v>
      </c>
      <c r="L741" s="276">
        <v>8</v>
      </c>
      <c r="M741" s="277">
        <v>18</v>
      </c>
    </row>
    <row r="742" spans="1:13" ht="14.25">
      <c r="A742" s="278">
        <v>11310</v>
      </c>
      <c r="B742" s="279" t="s">
        <v>283</v>
      </c>
      <c r="C742" s="279" t="s">
        <v>308</v>
      </c>
      <c r="D742" s="279" t="s">
        <v>309</v>
      </c>
      <c r="E742" s="280">
        <v>2.8</v>
      </c>
      <c r="F742" s="280" t="s">
        <v>114</v>
      </c>
      <c r="G742" s="280">
        <v>0</v>
      </c>
      <c r="H742" s="280">
        <v>2</v>
      </c>
      <c r="I742" s="280">
        <v>11</v>
      </c>
      <c r="J742" s="280">
        <v>0</v>
      </c>
      <c r="K742" s="280">
        <v>13</v>
      </c>
      <c r="L742" s="280">
        <v>11</v>
      </c>
      <c r="M742" s="281">
        <v>30.8</v>
      </c>
    </row>
    <row r="743" spans="1:13" ht="14.25">
      <c r="A743" s="274">
        <v>11310</v>
      </c>
      <c r="B743" s="275" t="s">
        <v>283</v>
      </c>
      <c r="C743" s="275" t="s">
        <v>1131</v>
      </c>
      <c r="D743" s="275" t="s">
        <v>336</v>
      </c>
      <c r="E743" s="276">
        <v>2.8</v>
      </c>
      <c r="F743" s="276" t="s">
        <v>119</v>
      </c>
      <c r="G743" s="276">
        <v>0</v>
      </c>
      <c r="H743" s="276">
        <v>0</v>
      </c>
      <c r="I743" s="276">
        <v>4</v>
      </c>
      <c r="J743" s="276">
        <v>0</v>
      </c>
      <c r="K743" s="276">
        <v>4</v>
      </c>
      <c r="L743" s="276">
        <v>4</v>
      </c>
      <c r="M743" s="277">
        <v>11.2</v>
      </c>
    </row>
    <row r="744" spans="1:13" ht="14.25">
      <c r="A744" s="278">
        <v>11310</v>
      </c>
      <c r="B744" s="279" t="s">
        <v>283</v>
      </c>
      <c r="C744" s="279" t="s">
        <v>310</v>
      </c>
      <c r="D744" s="279" t="s">
        <v>285</v>
      </c>
      <c r="E744" s="280">
        <v>2.25</v>
      </c>
      <c r="F744" s="280" t="s">
        <v>119</v>
      </c>
      <c r="G744" s="280">
        <v>0</v>
      </c>
      <c r="H744" s="280">
        <v>0</v>
      </c>
      <c r="I744" s="280">
        <v>6</v>
      </c>
      <c r="J744" s="280">
        <v>0</v>
      </c>
      <c r="K744" s="280">
        <v>6</v>
      </c>
      <c r="L744" s="280">
        <v>6</v>
      </c>
      <c r="M744" s="281">
        <v>13.5</v>
      </c>
    </row>
    <row r="745" spans="1:13" ht="14.25">
      <c r="A745" s="274">
        <v>11310</v>
      </c>
      <c r="B745" s="275" t="s">
        <v>283</v>
      </c>
      <c r="C745" s="275" t="s">
        <v>310</v>
      </c>
      <c r="D745" s="275" t="s">
        <v>285</v>
      </c>
      <c r="E745" s="276">
        <v>2.25</v>
      </c>
      <c r="F745" s="276" t="s">
        <v>122</v>
      </c>
      <c r="G745" s="276">
        <v>0</v>
      </c>
      <c r="H745" s="276">
        <v>16</v>
      </c>
      <c r="I745" s="276">
        <v>36</v>
      </c>
      <c r="J745" s="276">
        <v>0</v>
      </c>
      <c r="K745" s="276">
        <v>52</v>
      </c>
      <c r="L745" s="276">
        <v>36</v>
      </c>
      <c r="M745" s="277">
        <v>81</v>
      </c>
    </row>
    <row r="746" spans="1:13" ht="14.25">
      <c r="A746" s="278">
        <v>11310</v>
      </c>
      <c r="B746" s="279" t="s">
        <v>283</v>
      </c>
      <c r="C746" s="279" t="s">
        <v>311</v>
      </c>
      <c r="D746" s="279" t="s">
        <v>312</v>
      </c>
      <c r="E746" s="280">
        <v>2.25</v>
      </c>
      <c r="F746" s="280" t="s">
        <v>119</v>
      </c>
      <c r="G746" s="280">
        <v>0</v>
      </c>
      <c r="H746" s="280">
        <v>0</v>
      </c>
      <c r="I746" s="280">
        <v>10</v>
      </c>
      <c r="J746" s="280">
        <v>0</v>
      </c>
      <c r="K746" s="280">
        <v>10</v>
      </c>
      <c r="L746" s="280">
        <v>10</v>
      </c>
      <c r="M746" s="281">
        <v>22.5</v>
      </c>
    </row>
    <row r="747" spans="1:13" ht="14.25">
      <c r="A747" s="274">
        <v>11310</v>
      </c>
      <c r="B747" s="275" t="s">
        <v>283</v>
      </c>
      <c r="C747" s="275" t="s">
        <v>311</v>
      </c>
      <c r="D747" s="275" t="s">
        <v>312</v>
      </c>
      <c r="E747" s="276">
        <v>2.25</v>
      </c>
      <c r="F747" s="276" t="s">
        <v>122</v>
      </c>
      <c r="G747" s="276">
        <v>0</v>
      </c>
      <c r="H747" s="276">
        <v>16</v>
      </c>
      <c r="I747" s="276">
        <v>14</v>
      </c>
      <c r="J747" s="276">
        <v>0</v>
      </c>
      <c r="K747" s="276">
        <v>30</v>
      </c>
      <c r="L747" s="276">
        <v>14</v>
      </c>
      <c r="M747" s="277">
        <v>31.5</v>
      </c>
    </row>
    <row r="748" spans="1:13" ht="14.25">
      <c r="A748" s="278">
        <v>11310</v>
      </c>
      <c r="B748" s="279" t="s">
        <v>283</v>
      </c>
      <c r="C748" s="279" t="s">
        <v>73</v>
      </c>
      <c r="D748" s="279" t="s">
        <v>74</v>
      </c>
      <c r="E748" s="280">
        <v>1.65</v>
      </c>
      <c r="F748" s="280" t="s">
        <v>119</v>
      </c>
      <c r="G748" s="280">
        <v>0</v>
      </c>
      <c r="H748" s="280">
        <v>1</v>
      </c>
      <c r="I748" s="280">
        <v>4</v>
      </c>
      <c r="J748" s="280">
        <v>0</v>
      </c>
      <c r="K748" s="280">
        <v>5</v>
      </c>
      <c r="L748" s="280">
        <v>4</v>
      </c>
      <c r="M748" s="281">
        <v>6.6</v>
      </c>
    </row>
    <row r="749" spans="1:13" ht="14.25">
      <c r="A749" s="274">
        <v>11310</v>
      </c>
      <c r="B749" s="275" t="s">
        <v>283</v>
      </c>
      <c r="C749" s="275" t="s">
        <v>73</v>
      </c>
      <c r="D749" s="275" t="s">
        <v>74</v>
      </c>
      <c r="E749" s="276">
        <v>1.65</v>
      </c>
      <c r="F749" s="276" t="s">
        <v>122</v>
      </c>
      <c r="G749" s="276">
        <v>0</v>
      </c>
      <c r="H749" s="276">
        <v>4</v>
      </c>
      <c r="I749" s="276">
        <v>15</v>
      </c>
      <c r="J749" s="276">
        <v>0</v>
      </c>
      <c r="K749" s="276">
        <v>19</v>
      </c>
      <c r="L749" s="276">
        <v>15</v>
      </c>
      <c r="M749" s="277">
        <v>24.75</v>
      </c>
    </row>
    <row r="750" spans="1:13" ht="14.25">
      <c r="A750" s="278">
        <v>11310</v>
      </c>
      <c r="B750" s="279" t="s">
        <v>283</v>
      </c>
      <c r="C750" s="279" t="s">
        <v>313</v>
      </c>
      <c r="D750" s="279" t="s">
        <v>314</v>
      </c>
      <c r="E750" s="280">
        <v>1.65</v>
      </c>
      <c r="F750" s="280" t="s">
        <v>119</v>
      </c>
      <c r="G750" s="280">
        <v>0</v>
      </c>
      <c r="H750" s="280">
        <v>1</v>
      </c>
      <c r="I750" s="280">
        <v>4</v>
      </c>
      <c r="J750" s="280">
        <v>0</v>
      </c>
      <c r="K750" s="280">
        <v>5</v>
      </c>
      <c r="L750" s="280">
        <v>4</v>
      </c>
      <c r="M750" s="281">
        <v>6.6</v>
      </c>
    </row>
    <row r="751" spans="1:13" ht="14.25">
      <c r="A751" s="274">
        <v>11310</v>
      </c>
      <c r="B751" s="275" t="s">
        <v>283</v>
      </c>
      <c r="C751" s="275" t="s">
        <v>313</v>
      </c>
      <c r="D751" s="275" t="s">
        <v>314</v>
      </c>
      <c r="E751" s="276">
        <v>1.65</v>
      </c>
      <c r="F751" s="276" t="s">
        <v>122</v>
      </c>
      <c r="G751" s="276">
        <v>0</v>
      </c>
      <c r="H751" s="276">
        <v>13</v>
      </c>
      <c r="I751" s="276">
        <v>29</v>
      </c>
      <c r="J751" s="276">
        <v>1</v>
      </c>
      <c r="K751" s="276">
        <v>43</v>
      </c>
      <c r="L751" s="276">
        <v>29.5</v>
      </c>
      <c r="M751" s="277">
        <v>48.68</v>
      </c>
    </row>
    <row r="752" spans="1:13" ht="14.25">
      <c r="A752" s="278">
        <v>11310</v>
      </c>
      <c r="B752" s="279" t="s">
        <v>283</v>
      </c>
      <c r="C752" s="279" t="s">
        <v>315</v>
      </c>
      <c r="D752" s="279" t="s">
        <v>316</v>
      </c>
      <c r="E752" s="280">
        <v>1.65</v>
      </c>
      <c r="F752" s="280" t="s">
        <v>119</v>
      </c>
      <c r="G752" s="280">
        <v>0</v>
      </c>
      <c r="H752" s="280">
        <v>0</v>
      </c>
      <c r="I752" s="280">
        <v>6</v>
      </c>
      <c r="J752" s="280">
        <v>0</v>
      </c>
      <c r="K752" s="280">
        <v>6</v>
      </c>
      <c r="L752" s="280">
        <v>6</v>
      </c>
      <c r="M752" s="281">
        <v>9.9</v>
      </c>
    </row>
    <row r="753" spans="1:13" ht="14.25">
      <c r="A753" s="274">
        <v>11310</v>
      </c>
      <c r="B753" s="275" t="s">
        <v>283</v>
      </c>
      <c r="C753" s="275" t="s">
        <v>315</v>
      </c>
      <c r="D753" s="275" t="s">
        <v>316</v>
      </c>
      <c r="E753" s="276">
        <v>1.65</v>
      </c>
      <c r="F753" s="276" t="s">
        <v>122</v>
      </c>
      <c r="G753" s="276">
        <v>0</v>
      </c>
      <c r="H753" s="276">
        <v>2</v>
      </c>
      <c r="I753" s="276">
        <v>11</v>
      </c>
      <c r="J753" s="276">
        <v>1</v>
      </c>
      <c r="K753" s="276">
        <v>14</v>
      </c>
      <c r="L753" s="276">
        <v>11.5</v>
      </c>
      <c r="M753" s="277">
        <v>18.98</v>
      </c>
    </row>
    <row r="754" spans="1:13" ht="14.25">
      <c r="A754" s="278">
        <v>11310</v>
      </c>
      <c r="B754" s="279" t="s">
        <v>283</v>
      </c>
      <c r="C754" s="279" t="s">
        <v>317</v>
      </c>
      <c r="D754" s="279" t="s">
        <v>318</v>
      </c>
      <c r="E754" s="280">
        <v>1.65</v>
      </c>
      <c r="F754" s="280" t="s">
        <v>119</v>
      </c>
      <c r="G754" s="280">
        <v>0</v>
      </c>
      <c r="H754" s="280">
        <v>0</v>
      </c>
      <c r="I754" s="280">
        <v>7</v>
      </c>
      <c r="J754" s="280">
        <v>0</v>
      </c>
      <c r="K754" s="280">
        <v>7</v>
      </c>
      <c r="L754" s="280">
        <v>7</v>
      </c>
      <c r="M754" s="281">
        <v>11.55</v>
      </c>
    </row>
    <row r="755" spans="1:13" ht="14.25">
      <c r="A755" s="274">
        <v>11310</v>
      </c>
      <c r="B755" s="275" t="s">
        <v>283</v>
      </c>
      <c r="C755" s="275" t="s">
        <v>317</v>
      </c>
      <c r="D755" s="275" t="s">
        <v>318</v>
      </c>
      <c r="E755" s="276">
        <v>1.65</v>
      </c>
      <c r="F755" s="276" t="s">
        <v>122</v>
      </c>
      <c r="G755" s="276">
        <v>0</v>
      </c>
      <c r="H755" s="276">
        <v>7</v>
      </c>
      <c r="I755" s="276">
        <v>19</v>
      </c>
      <c r="J755" s="276">
        <v>0</v>
      </c>
      <c r="K755" s="276">
        <v>26</v>
      </c>
      <c r="L755" s="276">
        <v>19</v>
      </c>
      <c r="M755" s="277">
        <v>31.35</v>
      </c>
    </row>
    <row r="756" spans="1:13" ht="14.25">
      <c r="A756" s="278">
        <v>11310</v>
      </c>
      <c r="B756" s="279" t="s">
        <v>283</v>
      </c>
      <c r="C756" s="279" t="s">
        <v>319</v>
      </c>
      <c r="D756" s="279" t="s">
        <v>320</v>
      </c>
      <c r="E756" s="280">
        <v>1.65</v>
      </c>
      <c r="F756" s="280" t="s">
        <v>119</v>
      </c>
      <c r="G756" s="280">
        <v>0</v>
      </c>
      <c r="H756" s="280">
        <v>1</v>
      </c>
      <c r="I756" s="280">
        <v>3</v>
      </c>
      <c r="J756" s="280">
        <v>0</v>
      </c>
      <c r="K756" s="280">
        <v>4</v>
      </c>
      <c r="L756" s="280">
        <v>3</v>
      </c>
      <c r="M756" s="281">
        <v>4.95</v>
      </c>
    </row>
    <row r="757" spans="1:13" ht="14.25">
      <c r="A757" s="274">
        <v>11310</v>
      </c>
      <c r="B757" s="275" t="s">
        <v>283</v>
      </c>
      <c r="C757" s="275" t="s">
        <v>319</v>
      </c>
      <c r="D757" s="275" t="s">
        <v>320</v>
      </c>
      <c r="E757" s="276">
        <v>1.65</v>
      </c>
      <c r="F757" s="276" t="s">
        <v>122</v>
      </c>
      <c r="G757" s="276">
        <v>0</v>
      </c>
      <c r="H757" s="276">
        <v>2</v>
      </c>
      <c r="I757" s="276">
        <v>6</v>
      </c>
      <c r="J757" s="276">
        <v>0</v>
      </c>
      <c r="K757" s="276">
        <v>8</v>
      </c>
      <c r="L757" s="276">
        <v>6</v>
      </c>
      <c r="M757" s="277">
        <v>9.9</v>
      </c>
    </row>
    <row r="758" spans="1:13" ht="14.25">
      <c r="A758" s="278">
        <v>11310</v>
      </c>
      <c r="B758" s="279" t="s">
        <v>283</v>
      </c>
      <c r="C758" s="279" t="s">
        <v>321</v>
      </c>
      <c r="D758" s="279" t="s">
        <v>322</v>
      </c>
      <c r="E758" s="280">
        <v>1.65</v>
      </c>
      <c r="F758" s="280" t="s">
        <v>119</v>
      </c>
      <c r="G758" s="280">
        <v>0</v>
      </c>
      <c r="H758" s="280">
        <v>0</v>
      </c>
      <c r="I758" s="280">
        <v>4</v>
      </c>
      <c r="J758" s="280">
        <v>0</v>
      </c>
      <c r="K758" s="280">
        <v>4</v>
      </c>
      <c r="L758" s="280">
        <v>4</v>
      </c>
      <c r="M758" s="281">
        <v>6.6</v>
      </c>
    </row>
    <row r="759" spans="1:13" ht="14.25">
      <c r="A759" s="274">
        <v>11310</v>
      </c>
      <c r="B759" s="275" t="s">
        <v>283</v>
      </c>
      <c r="C759" s="275" t="s">
        <v>321</v>
      </c>
      <c r="D759" s="275" t="s">
        <v>322</v>
      </c>
      <c r="E759" s="276">
        <v>1.65</v>
      </c>
      <c r="F759" s="276" t="s">
        <v>122</v>
      </c>
      <c r="G759" s="276">
        <v>0</v>
      </c>
      <c r="H759" s="276">
        <v>2</v>
      </c>
      <c r="I759" s="276">
        <v>11</v>
      </c>
      <c r="J759" s="276">
        <v>0</v>
      </c>
      <c r="K759" s="276">
        <v>13</v>
      </c>
      <c r="L759" s="276">
        <v>11</v>
      </c>
      <c r="M759" s="277">
        <v>18.15</v>
      </c>
    </row>
    <row r="760" spans="1:13" ht="14.25">
      <c r="A760" s="278">
        <v>11310</v>
      </c>
      <c r="B760" s="279" t="s">
        <v>283</v>
      </c>
      <c r="C760" s="279" t="s">
        <v>323</v>
      </c>
      <c r="D760" s="279" t="s">
        <v>324</v>
      </c>
      <c r="E760" s="280">
        <v>2.8</v>
      </c>
      <c r="F760" s="280" t="s">
        <v>119</v>
      </c>
      <c r="G760" s="280">
        <v>0</v>
      </c>
      <c r="H760" s="280">
        <v>1</v>
      </c>
      <c r="I760" s="280">
        <v>8</v>
      </c>
      <c r="J760" s="280">
        <v>0</v>
      </c>
      <c r="K760" s="280">
        <v>9</v>
      </c>
      <c r="L760" s="280">
        <v>8</v>
      </c>
      <c r="M760" s="281">
        <v>22.4</v>
      </c>
    </row>
    <row r="761" spans="1:13" ht="14.25">
      <c r="A761" s="274">
        <v>11310</v>
      </c>
      <c r="B761" s="275" t="s">
        <v>283</v>
      </c>
      <c r="C761" s="275" t="s">
        <v>323</v>
      </c>
      <c r="D761" s="275" t="s">
        <v>324</v>
      </c>
      <c r="E761" s="276">
        <v>2.8</v>
      </c>
      <c r="F761" s="276" t="s">
        <v>122</v>
      </c>
      <c r="G761" s="276">
        <v>0</v>
      </c>
      <c r="H761" s="276">
        <v>3</v>
      </c>
      <c r="I761" s="276">
        <v>14</v>
      </c>
      <c r="J761" s="276">
        <v>0</v>
      </c>
      <c r="K761" s="276">
        <v>17</v>
      </c>
      <c r="L761" s="276">
        <v>14</v>
      </c>
      <c r="M761" s="277">
        <v>39.2</v>
      </c>
    </row>
    <row r="762" spans="1:13" ht="14.25">
      <c r="A762" s="278">
        <v>11310</v>
      </c>
      <c r="B762" s="279" t="s">
        <v>283</v>
      </c>
      <c r="C762" s="279" t="s">
        <v>217</v>
      </c>
      <c r="D762" s="279" t="s">
        <v>218</v>
      </c>
      <c r="E762" s="280">
        <v>2.8</v>
      </c>
      <c r="F762" s="280" t="s">
        <v>119</v>
      </c>
      <c r="G762" s="280">
        <v>0</v>
      </c>
      <c r="H762" s="280">
        <v>0</v>
      </c>
      <c r="I762" s="280">
        <v>14</v>
      </c>
      <c r="J762" s="280">
        <v>0</v>
      </c>
      <c r="K762" s="280">
        <v>14</v>
      </c>
      <c r="L762" s="280">
        <v>14</v>
      </c>
      <c r="M762" s="281">
        <v>39.2</v>
      </c>
    </row>
    <row r="763" spans="1:13" ht="14.25">
      <c r="A763" s="274">
        <v>11310</v>
      </c>
      <c r="B763" s="275" t="s">
        <v>283</v>
      </c>
      <c r="C763" s="275" t="s">
        <v>217</v>
      </c>
      <c r="D763" s="275" t="s">
        <v>218</v>
      </c>
      <c r="E763" s="276">
        <v>2.8</v>
      </c>
      <c r="F763" s="276" t="s">
        <v>122</v>
      </c>
      <c r="G763" s="276">
        <v>0</v>
      </c>
      <c r="H763" s="276">
        <v>11</v>
      </c>
      <c r="I763" s="276">
        <v>44</v>
      </c>
      <c r="J763" s="276">
        <v>0</v>
      </c>
      <c r="K763" s="276">
        <v>55</v>
      </c>
      <c r="L763" s="276">
        <v>44</v>
      </c>
      <c r="M763" s="277">
        <v>123.2</v>
      </c>
    </row>
    <row r="764" spans="1:13" ht="14.25">
      <c r="A764" s="278">
        <v>11310</v>
      </c>
      <c r="B764" s="279" t="s">
        <v>283</v>
      </c>
      <c r="C764" s="279" t="s">
        <v>325</v>
      </c>
      <c r="D764" s="279" t="s">
        <v>326</v>
      </c>
      <c r="E764" s="280">
        <v>2.8</v>
      </c>
      <c r="F764" s="280" t="s">
        <v>119</v>
      </c>
      <c r="G764" s="280">
        <v>0</v>
      </c>
      <c r="H764" s="280">
        <v>0</v>
      </c>
      <c r="I764" s="280">
        <v>14</v>
      </c>
      <c r="J764" s="280">
        <v>0</v>
      </c>
      <c r="K764" s="280">
        <v>14</v>
      </c>
      <c r="L764" s="280">
        <v>14</v>
      </c>
      <c r="M764" s="281">
        <v>39.2</v>
      </c>
    </row>
    <row r="765" spans="1:13" ht="14.25">
      <c r="A765" s="274">
        <v>11310</v>
      </c>
      <c r="B765" s="275" t="s">
        <v>283</v>
      </c>
      <c r="C765" s="275" t="s">
        <v>325</v>
      </c>
      <c r="D765" s="275" t="s">
        <v>326</v>
      </c>
      <c r="E765" s="276">
        <v>2.8</v>
      </c>
      <c r="F765" s="276" t="s">
        <v>122</v>
      </c>
      <c r="G765" s="276">
        <v>0</v>
      </c>
      <c r="H765" s="276">
        <v>6</v>
      </c>
      <c r="I765" s="276">
        <v>32</v>
      </c>
      <c r="J765" s="276">
        <v>0</v>
      </c>
      <c r="K765" s="276">
        <v>38</v>
      </c>
      <c r="L765" s="276">
        <v>32</v>
      </c>
      <c r="M765" s="277">
        <v>89.6</v>
      </c>
    </row>
    <row r="766" spans="1:13" ht="14.25">
      <c r="A766" s="278">
        <v>11310</v>
      </c>
      <c r="B766" s="279" t="s">
        <v>283</v>
      </c>
      <c r="C766" s="279" t="s">
        <v>327</v>
      </c>
      <c r="D766" s="279" t="s">
        <v>328</v>
      </c>
      <c r="E766" s="280">
        <v>2.8</v>
      </c>
      <c r="F766" s="280" t="s">
        <v>119</v>
      </c>
      <c r="G766" s="280">
        <v>0</v>
      </c>
      <c r="H766" s="280">
        <v>0</v>
      </c>
      <c r="I766" s="280">
        <v>14</v>
      </c>
      <c r="J766" s="280">
        <v>0</v>
      </c>
      <c r="K766" s="280">
        <v>14</v>
      </c>
      <c r="L766" s="280">
        <v>14</v>
      </c>
      <c r="M766" s="281">
        <v>39.2</v>
      </c>
    </row>
    <row r="767" spans="1:13" ht="14.25">
      <c r="A767" s="274">
        <v>11310</v>
      </c>
      <c r="B767" s="275" t="s">
        <v>283</v>
      </c>
      <c r="C767" s="275" t="s">
        <v>327</v>
      </c>
      <c r="D767" s="275" t="s">
        <v>328</v>
      </c>
      <c r="E767" s="276">
        <v>2.8</v>
      </c>
      <c r="F767" s="276" t="s">
        <v>122</v>
      </c>
      <c r="G767" s="276">
        <v>0</v>
      </c>
      <c r="H767" s="276">
        <v>5</v>
      </c>
      <c r="I767" s="276">
        <v>32</v>
      </c>
      <c r="J767" s="276">
        <v>0</v>
      </c>
      <c r="K767" s="276">
        <v>37</v>
      </c>
      <c r="L767" s="276">
        <v>32</v>
      </c>
      <c r="M767" s="277">
        <v>89.6</v>
      </c>
    </row>
    <row r="768" spans="1:13" ht="14.25">
      <c r="A768" s="278">
        <v>11310</v>
      </c>
      <c r="B768" s="279" t="s">
        <v>283</v>
      </c>
      <c r="C768" s="279" t="s">
        <v>329</v>
      </c>
      <c r="D768" s="279" t="s">
        <v>330</v>
      </c>
      <c r="E768" s="280">
        <v>2.8</v>
      </c>
      <c r="F768" s="280" t="s">
        <v>119</v>
      </c>
      <c r="G768" s="280">
        <v>0</v>
      </c>
      <c r="H768" s="280">
        <v>0</v>
      </c>
      <c r="I768" s="280">
        <v>5</v>
      </c>
      <c r="J768" s="280">
        <v>0</v>
      </c>
      <c r="K768" s="280">
        <v>5</v>
      </c>
      <c r="L768" s="280">
        <v>5</v>
      </c>
      <c r="M768" s="281">
        <v>14</v>
      </c>
    </row>
    <row r="769" spans="1:13" ht="14.25">
      <c r="A769" s="274">
        <v>11310</v>
      </c>
      <c r="B769" s="275" t="s">
        <v>283</v>
      </c>
      <c r="C769" s="275" t="s">
        <v>329</v>
      </c>
      <c r="D769" s="275" t="s">
        <v>330</v>
      </c>
      <c r="E769" s="276">
        <v>2.8</v>
      </c>
      <c r="F769" s="276" t="s">
        <v>122</v>
      </c>
      <c r="G769" s="276">
        <v>0</v>
      </c>
      <c r="H769" s="276">
        <v>6</v>
      </c>
      <c r="I769" s="276">
        <v>21</v>
      </c>
      <c r="J769" s="276">
        <v>0</v>
      </c>
      <c r="K769" s="276">
        <v>27</v>
      </c>
      <c r="L769" s="276">
        <v>21</v>
      </c>
      <c r="M769" s="277">
        <v>58.8</v>
      </c>
    </row>
    <row r="770" spans="1:13" ht="14.25">
      <c r="A770" s="278">
        <v>11310</v>
      </c>
      <c r="B770" s="279" t="s">
        <v>283</v>
      </c>
      <c r="C770" s="279" t="s">
        <v>219</v>
      </c>
      <c r="D770" s="279" t="s">
        <v>220</v>
      </c>
      <c r="E770" s="280">
        <v>2.8</v>
      </c>
      <c r="F770" s="280" t="s">
        <v>119</v>
      </c>
      <c r="G770" s="280">
        <v>0</v>
      </c>
      <c r="H770" s="280">
        <v>1</v>
      </c>
      <c r="I770" s="280">
        <v>7</v>
      </c>
      <c r="J770" s="280">
        <v>0</v>
      </c>
      <c r="K770" s="280">
        <v>8</v>
      </c>
      <c r="L770" s="280">
        <v>7</v>
      </c>
      <c r="M770" s="281">
        <v>19.6</v>
      </c>
    </row>
    <row r="771" spans="1:13" ht="14.25">
      <c r="A771" s="274">
        <v>11310</v>
      </c>
      <c r="B771" s="275" t="s">
        <v>283</v>
      </c>
      <c r="C771" s="275" t="s">
        <v>219</v>
      </c>
      <c r="D771" s="275" t="s">
        <v>220</v>
      </c>
      <c r="E771" s="276">
        <v>2.8</v>
      </c>
      <c r="F771" s="276" t="s">
        <v>122</v>
      </c>
      <c r="G771" s="276">
        <v>0</v>
      </c>
      <c r="H771" s="276">
        <v>7</v>
      </c>
      <c r="I771" s="276">
        <v>25</v>
      </c>
      <c r="J771" s="276">
        <v>1</v>
      </c>
      <c r="K771" s="276">
        <v>33</v>
      </c>
      <c r="L771" s="276">
        <v>25.5</v>
      </c>
      <c r="M771" s="277">
        <v>71.4</v>
      </c>
    </row>
    <row r="772" spans="1:13" ht="14.25">
      <c r="A772" s="278">
        <v>11310</v>
      </c>
      <c r="B772" s="279" t="s">
        <v>283</v>
      </c>
      <c r="C772" s="279" t="s">
        <v>331</v>
      </c>
      <c r="D772" s="279" t="s">
        <v>332</v>
      </c>
      <c r="E772" s="280">
        <v>1.2</v>
      </c>
      <c r="F772" s="280" t="s">
        <v>122</v>
      </c>
      <c r="G772" s="280">
        <v>0</v>
      </c>
      <c r="H772" s="280">
        <v>1</v>
      </c>
      <c r="I772" s="280">
        <v>0</v>
      </c>
      <c r="J772" s="280">
        <v>0</v>
      </c>
      <c r="K772" s="280">
        <v>1</v>
      </c>
      <c r="L772" s="280">
        <v>0</v>
      </c>
      <c r="M772" s="281">
        <v>0</v>
      </c>
    </row>
    <row r="773" spans="1:13" ht="14.25">
      <c r="A773" s="274">
        <v>11310</v>
      </c>
      <c r="B773" s="275" t="s">
        <v>283</v>
      </c>
      <c r="C773" s="275" t="s">
        <v>333</v>
      </c>
      <c r="D773" s="275" t="s">
        <v>334</v>
      </c>
      <c r="E773" s="276">
        <v>2.8</v>
      </c>
      <c r="F773" s="276" t="s">
        <v>119</v>
      </c>
      <c r="G773" s="276">
        <v>0</v>
      </c>
      <c r="H773" s="276">
        <v>0</v>
      </c>
      <c r="I773" s="276">
        <v>4</v>
      </c>
      <c r="J773" s="276">
        <v>0</v>
      </c>
      <c r="K773" s="276">
        <v>4</v>
      </c>
      <c r="L773" s="276">
        <v>4</v>
      </c>
      <c r="M773" s="277">
        <v>11.2</v>
      </c>
    </row>
    <row r="774" spans="1:13" ht="14.25">
      <c r="A774" s="278">
        <v>11310</v>
      </c>
      <c r="B774" s="279" t="s">
        <v>283</v>
      </c>
      <c r="C774" s="279" t="s">
        <v>333</v>
      </c>
      <c r="D774" s="279" t="s">
        <v>334</v>
      </c>
      <c r="E774" s="280">
        <v>2.8</v>
      </c>
      <c r="F774" s="280" t="s">
        <v>122</v>
      </c>
      <c r="G774" s="280">
        <v>0</v>
      </c>
      <c r="H774" s="280">
        <v>0</v>
      </c>
      <c r="I774" s="280">
        <v>13</v>
      </c>
      <c r="J774" s="280">
        <v>0</v>
      </c>
      <c r="K774" s="280">
        <v>13</v>
      </c>
      <c r="L774" s="280">
        <v>13</v>
      </c>
      <c r="M774" s="281">
        <v>36.4</v>
      </c>
    </row>
    <row r="775" spans="1:13" ht="14.25">
      <c r="A775" s="274">
        <v>11310</v>
      </c>
      <c r="B775" s="275" t="s">
        <v>283</v>
      </c>
      <c r="C775" s="275" t="s">
        <v>335</v>
      </c>
      <c r="D775" s="275" t="s">
        <v>336</v>
      </c>
      <c r="E775" s="276">
        <v>1.2</v>
      </c>
      <c r="F775" s="276" t="s">
        <v>122</v>
      </c>
      <c r="G775" s="276">
        <v>0</v>
      </c>
      <c r="H775" s="276">
        <v>2</v>
      </c>
      <c r="I775" s="276">
        <v>17</v>
      </c>
      <c r="J775" s="276">
        <v>0</v>
      </c>
      <c r="K775" s="276">
        <v>19</v>
      </c>
      <c r="L775" s="276">
        <v>17</v>
      </c>
      <c r="M775" s="277">
        <v>20.4</v>
      </c>
    </row>
    <row r="776" spans="1:13" ht="14.25">
      <c r="A776" s="278">
        <v>11310</v>
      </c>
      <c r="B776" s="279" t="s">
        <v>283</v>
      </c>
      <c r="C776" s="279" t="s">
        <v>337</v>
      </c>
      <c r="D776" s="279" t="s">
        <v>338</v>
      </c>
      <c r="E776" s="280">
        <v>2.25</v>
      </c>
      <c r="F776" s="280" t="s">
        <v>119</v>
      </c>
      <c r="G776" s="280">
        <v>0</v>
      </c>
      <c r="H776" s="280">
        <v>0</v>
      </c>
      <c r="I776" s="280">
        <v>17</v>
      </c>
      <c r="J776" s="280">
        <v>0</v>
      </c>
      <c r="K776" s="280">
        <v>17</v>
      </c>
      <c r="L776" s="280">
        <v>17</v>
      </c>
      <c r="M776" s="281">
        <v>38.25</v>
      </c>
    </row>
    <row r="777" spans="1:13" ht="14.25">
      <c r="A777" s="274">
        <v>11310</v>
      </c>
      <c r="B777" s="275" t="s">
        <v>283</v>
      </c>
      <c r="C777" s="275" t="s">
        <v>337</v>
      </c>
      <c r="D777" s="275" t="s">
        <v>338</v>
      </c>
      <c r="E777" s="276">
        <v>2.25</v>
      </c>
      <c r="F777" s="276" t="s">
        <v>122</v>
      </c>
      <c r="G777" s="276">
        <v>0</v>
      </c>
      <c r="H777" s="276">
        <v>28</v>
      </c>
      <c r="I777" s="276">
        <v>69</v>
      </c>
      <c r="J777" s="276">
        <v>0</v>
      </c>
      <c r="K777" s="276">
        <v>97</v>
      </c>
      <c r="L777" s="276">
        <v>69</v>
      </c>
      <c r="M777" s="277">
        <v>155.25</v>
      </c>
    </row>
    <row r="778" spans="1:13" ht="14.25">
      <c r="A778" s="278">
        <v>11310</v>
      </c>
      <c r="B778" s="279" t="s">
        <v>283</v>
      </c>
      <c r="C778" s="279" t="s">
        <v>339</v>
      </c>
      <c r="D778" s="279" t="s">
        <v>340</v>
      </c>
      <c r="E778" s="280">
        <v>2.25</v>
      </c>
      <c r="F778" s="280" t="s">
        <v>119</v>
      </c>
      <c r="G778" s="280">
        <v>0</v>
      </c>
      <c r="H778" s="280">
        <v>0</v>
      </c>
      <c r="I778" s="280">
        <v>3</v>
      </c>
      <c r="J778" s="280">
        <v>0</v>
      </c>
      <c r="K778" s="280">
        <v>3</v>
      </c>
      <c r="L778" s="280">
        <v>3</v>
      </c>
      <c r="M778" s="281">
        <v>6.75</v>
      </c>
    </row>
    <row r="779" spans="1:13" ht="14.25">
      <c r="A779" s="274">
        <v>11310</v>
      </c>
      <c r="B779" s="275" t="s">
        <v>283</v>
      </c>
      <c r="C779" s="275" t="s">
        <v>339</v>
      </c>
      <c r="D779" s="275" t="s">
        <v>340</v>
      </c>
      <c r="E779" s="276">
        <v>2.25</v>
      </c>
      <c r="F779" s="276" t="s">
        <v>122</v>
      </c>
      <c r="G779" s="276">
        <v>0</v>
      </c>
      <c r="H779" s="276">
        <v>18</v>
      </c>
      <c r="I779" s="276">
        <v>36</v>
      </c>
      <c r="J779" s="276">
        <v>0</v>
      </c>
      <c r="K779" s="276">
        <v>54</v>
      </c>
      <c r="L779" s="276">
        <v>36</v>
      </c>
      <c r="M779" s="277">
        <v>81</v>
      </c>
    </row>
    <row r="780" spans="1:13" ht="14.25">
      <c r="A780" s="278">
        <v>11310</v>
      </c>
      <c r="B780" s="279" t="s">
        <v>283</v>
      </c>
      <c r="C780" s="279" t="s">
        <v>75</v>
      </c>
      <c r="D780" s="279" t="s">
        <v>76</v>
      </c>
      <c r="E780" s="280">
        <v>2.8</v>
      </c>
      <c r="F780" s="280" t="s">
        <v>119</v>
      </c>
      <c r="G780" s="280">
        <v>0</v>
      </c>
      <c r="H780" s="280">
        <v>0</v>
      </c>
      <c r="I780" s="280">
        <v>4</v>
      </c>
      <c r="J780" s="280">
        <v>0</v>
      </c>
      <c r="K780" s="280">
        <v>4</v>
      </c>
      <c r="L780" s="280">
        <v>4</v>
      </c>
      <c r="M780" s="281">
        <v>11.2</v>
      </c>
    </row>
    <row r="781" spans="1:13" ht="14.25">
      <c r="A781" s="274">
        <v>11310</v>
      </c>
      <c r="B781" s="275" t="s">
        <v>283</v>
      </c>
      <c r="C781" s="275" t="s">
        <v>75</v>
      </c>
      <c r="D781" s="275" t="s">
        <v>76</v>
      </c>
      <c r="E781" s="276">
        <v>2.8</v>
      </c>
      <c r="F781" s="276" t="s">
        <v>122</v>
      </c>
      <c r="G781" s="276">
        <v>0</v>
      </c>
      <c r="H781" s="276">
        <v>9</v>
      </c>
      <c r="I781" s="276">
        <v>20</v>
      </c>
      <c r="J781" s="276">
        <v>0</v>
      </c>
      <c r="K781" s="276">
        <v>29</v>
      </c>
      <c r="L781" s="276">
        <v>20</v>
      </c>
      <c r="M781" s="277">
        <v>56</v>
      </c>
    </row>
    <row r="782" spans="1:13" ht="14.25">
      <c r="A782" s="278">
        <v>11310</v>
      </c>
      <c r="B782" s="279" t="s">
        <v>283</v>
      </c>
      <c r="C782" s="279" t="s">
        <v>341</v>
      </c>
      <c r="D782" s="279" t="s">
        <v>342</v>
      </c>
      <c r="E782" s="280">
        <v>1.65</v>
      </c>
      <c r="F782" s="280" t="s">
        <v>119</v>
      </c>
      <c r="G782" s="280">
        <v>0</v>
      </c>
      <c r="H782" s="280">
        <v>0</v>
      </c>
      <c r="I782" s="280">
        <v>9</v>
      </c>
      <c r="J782" s="280">
        <v>0</v>
      </c>
      <c r="K782" s="280">
        <v>9</v>
      </c>
      <c r="L782" s="280">
        <v>9</v>
      </c>
      <c r="M782" s="281">
        <v>14.85</v>
      </c>
    </row>
    <row r="783" spans="1:13" ht="14.25">
      <c r="A783" s="274">
        <v>11310</v>
      </c>
      <c r="B783" s="275" t="s">
        <v>283</v>
      </c>
      <c r="C783" s="275" t="s">
        <v>341</v>
      </c>
      <c r="D783" s="275" t="s">
        <v>342</v>
      </c>
      <c r="E783" s="276">
        <v>1.65</v>
      </c>
      <c r="F783" s="276" t="s">
        <v>122</v>
      </c>
      <c r="G783" s="276">
        <v>0</v>
      </c>
      <c r="H783" s="276">
        <v>8</v>
      </c>
      <c r="I783" s="276">
        <v>30</v>
      </c>
      <c r="J783" s="276">
        <v>1</v>
      </c>
      <c r="K783" s="276">
        <v>39</v>
      </c>
      <c r="L783" s="276">
        <v>30.5</v>
      </c>
      <c r="M783" s="277">
        <v>50.33</v>
      </c>
    </row>
    <row r="784" spans="1:13" ht="14.25">
      <c r="A784" s="278">
        <v>11310</v>
      </c>
      <c r="B784" s="279" t="s">
        <v>283</v>
      </c>
      <c r="C784" s="279" t="s">
        <v>139</v>
      </c>
      <c r="D784" s="279" t="s">
        <v>140</v>
      </c>
      <c r="E784" s="280">
        <v>2.25</v>
      </c>
      <c r="F784" s="280" t="s">
        <v>119</v>
      </c>
      <c r="G784" s="280">
        <v>0</v>
      </c>
      <c r="H784" s="280">
        <v>0</v>
      </c>
      <c r="I784" s="280">
        <v>12</v>
      </c>
      <c r="J784" s="280">
        <v>0</v>
      </c>
      <c r="K784" s="280">
        <v>12</v>
      </c>
      <c r="L784" s="280">
        <v>12</v>
      </c>
      <c r="M784" s="281">
        <v>27</v>
      </c>
    </row>
    <row r="785" spans="1:13" ht="14.25">
      <c r="A785" s="274">
        <v>11310</v>
      </c>
      <c r="B785" s="275" t="s">
        <v>283</v>
      </c>
      <c r="C785" s="275" t="s">
        <v>139</v>
      </c>
      <c r="D785" s="275" t="s">
        <v>140</v>
      </c>
      <c r="E785" s="276">
        <v>2.25</v>
      </c>
      <c r="F785" s="276" t="s">
        <v>122</v>
      </c>
      <c r="G785" s="276">
        <v>0</v>
      </c>
      <c r="H785" s="276">
        <v>11</v>
      </c>
      <c r="I785" s="276">
        <v>28</v>
      </c>
      <c r="J785" s="276">
        <v>0</v>
      </c>
      <c r="K785" s="276">
        <v>39</v>
      </c>
      <c r="L785" s="276">
        <v>28</v>
      </c>
      <c r="M785" s="277">
        <v>63</v>
      </c>
    </row>
    <row r="786" spans="1:13" ht="14.25">
      <c r="A786" s="278">
        <v>11310</v>
      </c>
      <c r="B786" s="279" t="s">
        <v>283</v>
      </c>
      <c r="C786" s="279" t="s">
        <v>77</v>
      </c>
      <c r="D786" s="279" t="s">
        <v>78</v>
      </c>
      <c r="E786" s="280">
        <v>2.25</v>
      </c>
      <c r="F786" s="280" t="s">
        <v>119</v>
      </c>
      <c r="G786" s="280">
        <v>0</v>
      </c>
      <c r="H786" s="280">
        <v>0</v>
      </c>
      <c r="I786" s="280">
        <v>24</v>
      </c>
      <c r="J786" s="280">
        <v>0</v>
      </c>
      <c r="K786" s="280">
        <v>24</v>
      </c>
      <c r="L786" s="280">
        <v>24</v>
      </c>
      <c r="M786" s="281">
        <v>54</v>
      </c>
    </row>
    <row r="787" spans="1:13" ht="14.25">
      <c r="A787" s="274">
        <v>11310</v>
      </c>
      <c r="B787" s="275" t="s">
        <v>283</v>
      </c>
      <c r="C787" s="275" t="s">
        <v>77</v>
      </c>
      <c r="D787" s="275" t="s">
        <v>78</v>
      </c>
      <c r="E787" s="276">
        <v>2.25</v>
      </c>
      <c r="F787" s="276" t="s">
        <v>122</v>
      </c>
      <c r="G787" s="276">
        <v>0</v>
      </c>
      <c r="H787" s="276">
        <v>32</v>
      </c>
      <c r="I787" s="276">
        <v>70</v>
      </c>
      <c r="J787" s="276">
        <v>0</v>
      </c>
      <c r="K787" s="276">
        <v>102</v>
      </c>
      <c r="L787" s="276">
        <v>70</v>
      </c>
      <c r="M787" s="277">
        <v>157.5</v>
      </c>
    </row>
    <row r="788" spans="1:13" ht="14.25">
      <c r="A788" s="278">
        <v>11310</v>
      </c>
      <c r="B788" s="279" t="s">
        <v>283</v>
      </c>
      <c r="C788" s="279" t="s">
        <v>343</v>
      </c>
      <c r="D788" s="279" t="s">
        <v>344</v>
      </c>
      <c r="E788" s="280">
        <v>2.25</v>
      </c>
      <c r="F788" s="280" t="s">
        <v>119</v>
      </c>
      <c r="G788" s="280">
        <v>0</v>
      </c>
      <c r="H788" s="280">
        <v>0</v>
      </c>
      <c r="I788" s="280">
        <v>13</v>
      </c>
      <c r="J788" s="280">
        <v>0</v>
      </c>
      <c r="K788" s="280">
        <v>13</v>
      </c>
      <c r="L788" s="280">
        <v>13</v>
      </c>
      <c r="M788" s="281">
        <v>29.25</v>
      </c>
    </row>
    <row r="789" spans="1:13" ht="14.25">
      <c r="A789" s="274">
        <v>11310</v>
      </c>
      <c r="B789" s="275" t="s">
        <v>283</v>
      </c>
      <c r="C789" s="275" t="s">
        <v>343</v>
      </c>
      <c r="D789" s="275" t="s">
        <v>344</v>
      </c>
      <c r="E789" s="276">
        <v>2.25</v>
      </c>
      <c r="F789" s="276" t="s">
        <v>122</v>
      </c>
      <c r="G789" s="276">
        <v>0</v>
      </c>
      <c r="H789" s="276">
        <v>15</v>
      </c>
      <c r="I789" s="276">
        <v>41</v>
      </c>
      <c r="J789" s="276">
        <v>1</v>
      </c>
      <c r="K789" s="276">
        <v>57</v>
      </c>
      <c r="L789" s="276">
        <v>41.5</v>
      </c>
      <c r="M789" s="277">
        <v>93.38</v>
      </c>
    </row>
    <row r="790" spans="1:13" ht="14.25">
      <c r="A790" s="278">
        <v>11310</v>
      </c>
      <c r="B790" s="279" t="s">
        <v>283</v>
      </c>
      <c r="C790" s="279" t="s">
        <v>141</v>
      </c>
      <c r="D790" s="279" t="s">
        <v>142</v>
      </c>
      <c r="E790" s="280">
        <v>2.25</v>
      </c>
      <c r="F790" s="280" t="s">
        <v>119</v>
      </c>
      <c r="G790" s="280">
        <v>0</v>
      </c>
      <c r="H790" s="280">
        <v>0</v>
      </c>
      <c r="I790" s="280">
        <v>9</v>
      </c>
      <c r="J790" s="280">
        <v>0</v>
      </c>
      <c r="K790" s="280">
        <v>9</v>
      </c>
      <c r="L790" s="280">
        <v>9</v>
      </c>
      <c r="M790" s="281">
        <v>20.25</v>
      </c>
    </row>
    <row r="791" spans="1:13" ht="14.25">
      <c r="A791" s="274">
        <v>11310</v>
      </c>
      <c r="B791" s="275" t="s">
        <v>283</v>
      </c>
      <c r="C791" s="275" t="s">
        <v>141</v>
      </c>
      <c r="D791" s="275" t="s">
        <v>142</v>
      </c>
      <c r="E791" s="276">
        <v>2.25</v>
      </c>
      <c r="F791" s="276" t="s">
        <v>122</v>
      </c>
      <c r="G791" s="276">
        <v>0</v>
      </c>
      <c r="H791" s="276">
        <v>13</v>
      </c>
      <c r="I791" s="276">
        <v>16</v>
      </c>
      <c r="J791" s="276">
        <v>0</v>
      </c>
      <c r="K791" s="276">
        <v>29</v>
      </c>
      <c r="L791" s="276">
        <v>16</v>
      </c>
      <c r="M791" s="277">
        <v>36</v>
      </c>
    </row>
    <row r="792" spans="1:13" ht="14.25">
      <c r="A792" s="278">
        <v>11310</v>
      </c>
      <c r="B792" s="279" t="s">
        <v>283</v>
      </c>
      <c r="C792" s="279" t="s">
        <v>79</v>
      </c>
      <c r="D792" s="279" t="s">
        <v>80</v>
      </c>
      <c r="E792" s="280">
        <v>2.25</v>
      </c>
      <c r="F792" s="280" t="s">
        <v>119</v>
      </c>
      <c r="G792" s="280">
        <v>0</v>
      </c>
      <c r="H792" s="280">
        <v>0</v>
      </c>
      <c r="I792" s="280">
        <v>7</v>
      </c>
      <c r="J792" s="280">
        <v>0</v>
      </c>
      <c r="K792" s="280">
        <v>7</v>
      </c>
      <c r="L792" s="280">
        <v>7</v>
      </c>
      <c r="M792" s="281">
        <v>15.75</v>
      </c>
    </row>
    <row r="793" spans="1:13" ht="14.25">
      <c r="A793" s="274">
        <v>11310</v>
      </c>
      <c r="B793" s="275" t="s">
        <v>283</v>
      </c>
      <c r="C793" s="275" t="s">
        <v>79</v>
      </c>
      <c r="D793" s="275" t="s">
        <v>80</v>
      </c>
      <c r="E793" s="276">
        <v>2.25</v>
      </c>
      <c r="F793" s="276" t="s">
        <v>122</v>
      </c>
      <c r="G793" s="276">
        <v>0</v>
      </c>
      <c r="H793" s="276">
        <v>8</v>
      </c>
      <c r="I793" s="276">
        <v>28</v>
      </c>
      <c r="J793" s="276">
        <v>0</v>
      </c>
      <c r="K793" s="276">
        <v>36</v>
      </c>
      <c r="L793" s="276">
        <v>28</v>
      </c>
      <c r="M793" s="277">
        <v>63</v>
      </c>
    </row>
    <row r="794" spans="1:13" ht="14.25">
      <c r="A794" s="278">
        <v>11310</v>
      </c>
      <c r="B794" s="279" t="s">
        <v>283</v>
      </c>
      <c r="C794" s="279" t="s">
        <v>345</v>
      </c>
      <c r="D794" s="279" t="s">
        <v>346</v>
      </c>
      <c r="E794" s="280">
        <v>2.25</v>
      </c>
      <c r="F794" s="280" t="s">
        <v>119</v>
      </c>
      <c r="G794" s="280">
        <v>0</v>
      </c>
      <c r="H794" s="280">
        <v>0</v>
      </c>
      <c r="I794" s="280">
        <v>4</v>
      </c>
      <c r="J794" s="280">
        <v>0</v>
      </c>
      <c r="K794" s="280">
        <v>4</v>
      </c>
      <c r="L794" s="280">
        <v>4</v>
      </c>
      <c r="M794" s="281">
        <v>9</v>
      </c>
    </row>
    <row r="795" spans="1:13" ht="14.25">
      <c r="A795" s="274">
        <v>11310</v>
      </c>
      <c r="B795" s="275" t="s">
        <v>283</v>
      </c>
      <c r="C795" s="275" t="s">
        <v>345</v>
      </c>
      <c r="D795" s="275" t="s">
        <v>346</v>
      </c>
      <c r="E795" s="276">
        <v>2.25</v>
      </c>
      <c r="F795" s="276" t="s">
        <v>122</v>
      </c>
      <c r="G795" s="276">
        <v>0</v>
      </c>
      <c r="H795" s="276">
        <v>5</v>
      </c>
      <c r="I795" s="276">
        <v>17</v>
      </c>
      <c r="J795" s="276">
        <v>0</v>
      </c>
      <c r="K795" s="276">
        <v>22</v>
      </c>
      <c r="L795" s="276">
        <v>17</v>
      </c>
      <c r="M795" s="277">
        <v>38.25</v>
      </c>
    </row>
    <row r="796" spans="1:13" ht="14.25">
      <c r="A796" s="278">
        <v>11310</v>
      </c>
      <c r="B796" s="279" t="s">
        <v>283</v>
      </c>
      <c r="C796" s="279" t="s">
        <v>347</v>
      </c>
      <c r="D796" s="279" t="s">
        <v>348</v>
      </c>
      <c r="E796" s="280">
        <v>2.25</v>
      </c>
      <c r="F796" s="280" t="s">
        <v>122</v>
      </c>
      <c r="G796" s="280">
        <v>0</v>
      </c>
      <c r="H796" s="280">
        <v>6</v>
      </c>
      <c r="I796" s="280">
        <v>18</v>
      </c>
      <c r="J796" s="280">
        <v>0</v>
      </c>
      <c r="K796" s="280">
        <v>24</v>
      </c>
      <c r="L796" s="280">
        <v>18</v>
      </c>
      <c r="M796" s="281">
        <v>40.5</v>
      </c>
    </row>
    <row r="797" spans="1:13" ht="14.25">
      <c r="A797" s="274">
        <v>11310</v>
      </c>
      <c r="B797" s="275" t="s">
        <v>283</v>
      </c>
      <c r="C797" s="275" t="s">
        <v>143</v>
      </c>
      <c r="D797" s="275" t="s">
        <v>144</v>
      </c>
      <c r="E797" s="276">
        <v>2.25</v>
      </c>
      <c r="F797" s="276" t="s">
        <v>119</v>
      </c>
      <c r="G797" s="276">
        <v>0</v>
      </c>
      <c r="H797" s="276">
        <v>2</v>
      </c>
      <c r="I797" s="276">
        <v>26</v>
      </c>
      <c r="J797" s="276">
        <v>0</v>
      </c>
      <c r="K797" s="276">
        <v>28</v>
      </c>
      <c r="L797" s="276">
        <v>26</v>
      </c>
      <c r="M797" s="277">
        <v>58.5</v>
      </c>
    </row>
    <row r="798" spans="1:13" ht="14.25">
      <c r="A798" s="278">
        <v>11310</v>
      </c>
      <c r="B798" s="279" t="s">
        <v>283</v>
      </c>
      <c r="C798" s="279" t="s">
        <v>143</v>
      </c>
      <c r="D798" s="279" t="s">
        <v>144</v>
      </c>
      <c r="E798" s="280">
        <v>2.25</v>
      </c>
      <c r="F798" s="280" t="s">
        <v>122</v>
      </c>
      <c r="G798" s="280">
        <v>0</v>
      </c>
      <c r="H798" s="280">
        <v>16</v>
      </c>
      <c r="I798" s="280">
        <v>74</v>
      </c>
      <c r="J798" s="280">
        <v>0</v>
      </c>
      <c r="K798" s="280">
        <v>90</v>
      </c>
      <c r="L798" s="280">
        <v>74</v>
      </c>
      <c r="M798" s="281">
        <v>166.5</v>
      </c>
    </row>
    <row r="799" spans="1:13" ht="14.25">
      <c r="A799" s="274">
        <v>11310</v>
      </c>
      <c r="B799" s="275" t="s">
        <v>283</v>
      </c>
      <c r="C799" s="275" t="s">
        <v>349</v>
      </c>
      <c r="D799" s="275" t="s">
        <v>350</v>
      </c>
      <c r="E799" s="276">
        <v>2.25</v>
      </c>
      <c r="F799" s="276" t="s">
        <v>119</v>
      </c>
      <c r="G799" s="276">
        <v>0</v>
      </c>
      <c r="H799" s="276">
        <v>0</v>
      </c>
      <c r="I799" s="276">
        <v>16</v>
      </c>
      <c r="J799" s="276">
        <v>0</v>
      </c>
      <c r="K799" s="276">
        <v>16</v>
      </c>
      <c r="L799" s="276">
        <v>16</v>
      </c>
      <c r="M799" s="277">
        <v>36</v>
      </c>
    </row>
    <row r="800" spans="1:13" ht="14.25">
      <c r="A800" s="278">
        <v>11310</v>
      </c>
      <c r="B800" s="279" t="s">
        <v>283</v>
      </c>
      <c r="C800" s="279" t="s">
        <v>349</v>
      </c>
      <c r="D800" s="279" t="s">
        <v>350</v>
      </c>
      <c r="E800" s="280">
        <v>2.25</v>
      </c>
      <c r="F800" s="280" t="s">
        <v>122</v>
      </c>
      <c r="G800" s="280">
        <v>0</v>
      </c>
      <c r="H800" s="280">
        <v>12</v>
      </c>
      <c r="I800" s="280">
        <v>22</v>
      </c>
      <c r="J800" s="280">
        <v>0</v>
      </c>
      <c r="K800" s="280">
        <v>34</v>
      </c>
      <c r="L800" s="280">
        <v>22</v>
      </c>
      <c r="M800" s="281">
        <v>49.5</v>
      </c>
    </row>
    <row r="801" spans="1:13" ht="14.25">
      <c r="A801" s="274">
        <v>11310</v>
      </c>
      <c r="B801" s="275" t="s">
        <v>283</v>
      </c>
      <c r="C801" s="275" t="s">
        <v>351</v>
      </c>
      <c r="D801" s="275" t="s">
        <v>352</v>
      </c>
      <c r="E801" s="276">
        <v>1</v>
      </c>
      <c r="F801" s="276" t="s">
        <v>119</v>
      </c>
      <c r="G801" s="276">
        <v>0</v>
      </c>
      <c r="H801" s="276">
        <v>0</v>
      </c>
      <c r="I801" s="276">
        <v>4</v>
      </c>
      <c r="J801" s="276">
        <v>0</v>
      </c>
      <c r="K801" s="276">
        <v>4</v>
      </c>
      <c r="L801" s="276">
        <v>4</v>
      </c>
      <c r="M801" s="277">
        <v>4</v>
      </c>
    </row>
    <row r="802" spans="1:13" ht="14.25">
      <c r="A802" s="278">
        <v>11310</v>
      </c>
      <c r="B802" s="279" t="s">
        <v>283</v>
      </c>
      <c r="C802" s="279" t="s">
        <v>351</v>
      </c>
      <c r="D802" s="279" t="s">
        <v>352</v>
      </c>
      <c r="E802" s="280">
        <v>1</v>
      </c>
      <c r="F802" s="280" t="s">
        <v>122</v>
      </c>
      <c r="G802" s="280">
        <v>0</v>
      </c>
      <c r="H802" s="280">
        <v>10</v>
      </c>
      <c r="I802" s="280">
        <v>9</v>
      </c>
      <c r="J802" s="280">
        <v>0</v>
      </c>
      <c r="K802" s="280">
        <v>19</v>
      </c>
      <c r="L802" s="280">
        <v>9</v>
      </c>
      <c r="M802" s="281">
        <v>9</v>
      </c>
    </row>
    <row r="803" spans="1:13" ht="9.75">
      <c r="A803" s="282">
        <v>11310</v>
      </c>
      <c r="B803" s="283" t="s">
        <v>163</v>
      </c>
      <c r="C803" s="283"/>
      <c r="D803" s="283"/>
      <c r="E803" s="283"/>
      <c r="F803" s="284" t="s">
        <v>132</v>
      </c>
      <c r="G803" s="284">
        <v>695</v>
      </c>
      <c r="H803" s="284">
        <v>11</v>
      </c>
      <c r="I803" s="284">
        <v>275</v>
      </c>
      <c r="J803" s="284">
        <v>3</v>
      </c>
      <c r="K803" s="284">
        <v>984</v>
      </c>
      <c r="L803" s="284"/>
      <c r="M803" s="1052"/>
    </row>
    <row r="804" spans="1:13" ht="9.75">
      <c r="A804" s="282">
        <v>11310</v>
      </c>
      <c r="B804" s="283" t="s">
        <v>163</v>
      </c>
      <c r="C804" s="283"/>
      <c r="D804" s="283"/>
      <c r="E804" s="283"/>
      <c r="F804" s="284" t="s">
        <v>109</v>
      </c>
      <c r="G804" s="284">
        <v>0</v>
      </c>
      <c r="H804" s="284">
        <v>151</v>
      </c>
      <c r="I804" s="284">
        <v>1231</v>
      </c>
      <c r="J804" s="284">
        <v>18</v>
      </c>
      <c r="K804" s="284">
        <v>1400</v>
      </c>
      <c r="L804" s="284"/>
      <c r="M804" s="1052"/>
    </row>
    <row r="805" spans="1:13" ht="9.75">
      <c r="A805" s="282">
        <v>11310</v>
      </c>
      <c r="B805" s="283" t="s">
        <v>163</v>
      </c>
      <c r="C805" s="283"/>
      <c r="D805" s="283"/>
      <c r="E805" s="283"/>
      <c r="F805" s="284" t="s">
        <v>110</v>
      </c>
      <c r="G805" s="284">
        <v>0</v>
      </c>
      <c r="H805" s="284">
        <v>0</v>
      </c>
      <c r="I805" s="284">
        <v>0</v>
      </c>
      <c r="J805" s="284">
        <v>0</v>
      </c>
      <c r="K805" s="284">
        <v>0</v>
      </c>
      <c r="L805" s="284"/>
      <c r="M805" s="1052"/>
    </row>
    <row r="806" spans="1:13" ht="9.75">
      <c r="A806" s="282">
        <v>11310</v>
      </c>
      <c r="B806" s="283" t="s">
        <v>163</v>
      </c>
      <c r="C806" s="283"/>
      <c r="D806" s="283"/>
      <c r="E806" s="283"/>
      <c r="F806" s="284" t="s">
        <v>113</v>
      </c>
      <c r="G806" s="284">
        <v>0</v>
      </c>
      <c r="H806" s="284">
        <v>0</v>
      </c>
      <c r="I806" s="284">
        <v>0</v>
      </c>
      <c r="J806" s="284">
        <v>0</v>
      </c>
      <c r="K806" s="284">
        <v>0</v>
      </c>
      <c r="L806" s="284"/>
      <c r="M806" s="1052"/>
    </row>
    <row r="807" spans="1:13" ht="9.75">
      <c r="A807" s="282">
        <v>11310</v>
      </c>
      <c r="B807" s="283" t="s">
        <v>163</v>
      </c>
      <c r="C807" s="283"/>
      <c r="D807" s="283"/>
      <c r="E807" s="283"/>
      <c r="F807" s="284" t="s">
        <v>116</v>
      </c>
      <c r="G807" s="284">
        <v>0</v>
      </c>
      <c r="H807" s="284">
        <v>1</v>
      </c>
      <c r="I807" s="284">
        <v>456</v>
      </c>
      <c r="J807" s="284">
        <v>1</v>
      </c>
      <c r="K807" s="284">
        <v>458</v>
      </c>
      <c r="L807" s="284"/>
      <c r="M807" s="1052"/>
    </row>
    <row r="808" spans="1:13" ht="9.75">
      <c r="A808" s="282">
        <v>11310</v>
      </c>
      <c r="B808" s="283" t="s">
        <v>163</v>
      </c>
      <c r="C808" s="283"/>
      <c r="D808" s="283"/>
      <c r="E808" s="283"/>
      <c r="F808" s="284" t="s">
        <v>114</v>
      </c>
      <c r="G808" s="284">
        <v>0</v>
      </c>
      <c r="H808" s="284">
        <v>60</v>
      </c>
      <c r="I808" s="284">
        <v>584</v>
      </c>
      <c r="J808" s="284">
        <v>3</v>
      </c>
      <c r="K808" s="284">
        <v>647</v>
      </c>
      <c r="L808" s="284"/>
      <c r="M808" s="1052"/>
    </row>
    <row r="809" spans="1:13" ht="9.75">
      <c r="A809" s="282">
        <v>11310</v>
      </c>
      <c r="B809" s="283" t="s">
        <v>163</v>
      </c>
      <c r="C809" s="283"/>
      <c r="D809" s="283"/>
      <c r="E809" s="283"/>
      <c r="F809" s="284" t="s">
        <v>119</v>
      </c>
      <c r="G809" s="284">
        <v>0</v>
      </c>
      <c r="H809" s="284">
        <v>7</v>
      </c>
      <c r="I809" s="284">
        <v>262</v>
      </c>
      <c r="J809" s="284">
        <v>0</v>
      </c>
      <c r="K809" s="284">
        <v>269</v>
      </c>
      <c r="L809" s="284"/>
      <c r="M809" s="1052"/>
    </row>
    <row r="810" spans="1:13" ht="9.75">
      <c r="A810" s="282">
        <v>11310</v>
      </c>
      <c r="B810" s="283" t="s">
        <v>163</v>
      </c>
      <c r="C810" s="283"/>
      <c r="D810" s="283"/>
      <c r="E810" s="283"/>
      <c r="F810" s="284" t="s">
        <v>122</v>
      </c>
      <c r="G810" s="284">
        <v>0</v>
      </c>
      <c r="H810" s="284">
        <v>294</v>
      </c>
      <c r="I810" s="284">
        <v>817</v>
      </c>
      <c r="J810" s="284">
        <v>5</v>
      </c>
      <c r="K810" s="284">
        <v>1116</v>
      </c>
      <c r="L810" s="284"/>
      <c r="M810" s="1052"/>
    </row>
    <row r="811" spans="1:13" ht="14.25">
      <c r="A811" s="274">
        <v>11320</v>
      </c>
      <c r="B811" s="275" t="s">
        <v>353</v>
      </c>
      <c r="C811" s="275" t="s">
        <v>1132</v>
      </c>
      <c r="D811" s="275" t="s">
        <v>1133</v>
      </c>
      <c r="E811" s="276">
        <v>2.8</v>
      </c>
      <c r="F811" s="276" t="s">
        <v>132</v>
      </c>
      <c r="G811" s="276">
        <v>9</v>
      </c>
      <c r="H811" s="276">
        <v>0</v>
      </c>
      <c r="I811" s="276">
        <v>2</v>
      </c>
      <c r="J811" s="276">
        <v>0</v>
      </c>
      <c r="K811" s="276">
        <v>11</v>
      </c>
      <c r="L811" s="276">
        <v>11</v>
      </c>
      <c r="M811" s="277">
        <v>30.8</v>
      </c>
    </row>
    <row r="812" spans="1:13" ht="14.25">
      <c r="A812" s="278">
        <v>11320</v>
      </c>
      <c r="B812" s="279" t="s">
        <v>353</v>
      </c>
      <c r="C812" s="279" t="s">
        <v>1134</v>
      </c>
      <c r="D812" s="279" t="s">
        <v>1135</v>
      </c>
      <c r="E812" s="280">
        <v>2.25</v>
      </c>
      <c r="F812" s="280" t="s">
        <v>132</v>
      </c>
      <c r="G812" s="280">
        <v>10</v>
      </c>
      <c r="H812" s="280">
        <v>0</v>
      </c>
      <c r="I812" s="280">
        <v>3</v>
      </c>
      <c r="J812" s="280">
        <v>0</v>
      </c>
      <c r="K812" s="280">
        <v>13</v>
      </c>
      <c r="L812" s="280">
        <v>13</v>
      </c>
      <c r="M812" s="281">
        <v>29.25</v>
      </c>
    </row>
    <row r="813" spans="1:13" ht="14.25">
      <c r="A813" s="274">
        <v>11320</v>
      </c>
      <c r="B813" s="275" t="s">
        <v>353</v>
      </c>
      <c r="C813" s="275" t="s">
        <v>1136</v>
      </c>
      <c r="D813" s="275" t="s">
        <v>356</v>
      </c>
      <c r="E813" s="276">
        <v>2.8</v>
      </c>
      <c r="F813" s="276" t="s">
        <v>132</v>
      </c>
      <c r="G813" s="276">
        <v>107</v>
      </c>
      <c r="H813" s="276">
        <v>0</v>
      </c>
      <c r="I813" s="276">
        <v>23</v>
      </c>
      <c r="J813" s="276">
        <v>0</v>
      </c>
      <c r="K813" s="276">
        <v>130</v>
      </c>
      <c r="L813" s="276">
        <v>130</v>
      </c>
      <c r="M813" s="277">
        <v>364</v>
      </c>
    </row>
    <row r="814" spans="1:13" ht="14.25">
      <c r="A814" s="278">
        <v>11320</v>
      </c>
      <c r="B814" s="279" t="s">
        <v>353</v>
      </c>
      <c r="C814" s="279" t="s">
        <v>1137</v>
      </c>
      <c r="D814" s="279" t="s">
        <v>1138</v>
      </c>
      <c r="E814" s="280">
        <v>2.25</v>
      </c>
      <c r="F814" s="280" t="s">
        <v>132</v>
      </c>
      <c r="G814" s="280">
        <v>11</v>
      </c>
      <c r="H814" s="280">
        <v>0</v>
      </c>
      <c r="I814" s="280">
        <v>1</v>
      </c>
      <c r="J814" s="280">
        <v>0</v>
      </c>
      <c r="K814" s="280">
        <v>12</v>
      </c>
      <c r="L814" s="280">
        <v>12</v>
      </c>
      <c r="M814" s="281">
        <v>27</v>
      </c>
    </row>
    <row r="815" spans="1:13" ht="14.25">
      <c r="A815" s="274">
        <v>11320</v>
      </c>
      <c r="B815" s="275" t="s">
        <v>353</v>
      </c>
      <c r="C815" s="275" t="s">
        <v>1139</v>
      </c>
      <c r="D815" s="275" t="s">
        <v>1140</v>
      </c>
      <c r="E815" s="276">
        <v>2.25</v>
      </c>
      <c r="F815" s="276" t="s">
        <v>132</v>
      </c>
      <c r="G815" s="276">
        <v>88</v>
      </c>
      <c r="H815" s="276">
        <v>0</v>
      </c>
      <c r="I815" s="276">
        <v>13</v>
      </c>
      <c r="J815" s="276">
        <v>0</v>
      </c>
      <c r="K815" s="276">
        <v>101</v>
      </c>
      <c r="L815" s="276">
        <v>101</v>
      </c>
      <c r="M815" s="277">
        <v>227.25</v>
      </c>
    </row>
    <row r="816" spans="1:13" ht="14.25">
      <c r="A816" s="278">
        <v>11320</v>
      </c>
      <c r="B816" s="279" t="s">
        <v>353</v>
      </c>
      <c r="C816" s="279" t="s">
        <v>1141</v>
      </c>
      <c r="D816" s="279" t="s">
        <v>1142</v>
      </c>
      <c r="E816" s="280">
        <v>2.25</v>
      </c>
      <c r="F816" s="280" t="s">
        <v>132</v>
      </c>
      <c r="G816" s="280">
        <v>11</v>
      </c>
      <c r="H816" s="280">
        <v>0</v>
      </c>
      <c r="I816" s="280">
        <v>2</v>
      </c>
      <c r="J816" s="280">
        <v>0</v>
      </c>
      <c r="K816" s="280">
        <v>13</v>
      </c>
      <c r="L816" s="280">
        <v>13</v>
      </c>
      <c r="M816" s="281">
        <v>29.25</v>
      </c>
    </row>
    <row r="817" spans="1:13" ht="14.25">
      <c r="A817" s="274">
        <v>11320</v>
      </c>
      <c r="B817" s="275" t="s">
        <v>353</v>
      </c>
      <c r="C817" s="275" t="s">
        <v>1143</v>
      </c>
      <c r="D817" s="275" t="s">
        <v>1144</v>
      </c>
      <c r="E817" s="276">
        <v>2.25</v>
      </c>
      <c r="F817" s="276" t="s">
        <v>132</v>
      </c>
      <c r="G817" s="276">
        <v>30</v>
      </c>
      <c r="H817" s="276">
        <v>2</v>
      </c>
      <c r="I817" s="276">
        <v>7</v>
      </c>
      <c r="J817" s="276">
        <v>0</v>
      </c>
      <c r="K817" s="276">
        <v>39</v>
      </c>
      <c r="L817" s="276">
        <v>37</v>
      </c>
      <c r="M817" s="277">
        <v>83.25</v>
      </c>
    </row>
    <row r="818" spans="1:13" ht="14.25">
      <c r="A818" s="278">
        <v>11320</v>
      </c>
      <c r="B818" s="279" t="s">
        <v>353</v>
      </c>
      <c r="C818" s="279" t="s">
        <v>1145</v>
      </c>
      <c r="D818" s="279" t="s">
        <v>83</v>
      </c>
      <c r="E818" s="280">
        <v>1.65</v>
      </c>
      <c r="F818" s="280" t="s">
        <v>132</v>
      </c>
      <c r="G818" s="280">
        <v>137</v>
      </c>
      <c r="H818" s="280">
        <v>4</v>
      </c>
      <c r="I818" s="280">
        <v>24</v>
      </c>
      <c r="J818" s="280">
        <v>0</v>
      </c>
      <c r="K818" s="280">
        <v>165</v>
      </c>
      <c r="L818" s="280">
        <v>161</v>
      </c>
      <c r="M818" s="281">
        <v>265.65</v>
      </c>
    </row>
    <row r="819" spans="1:13" ht="14.25">
      <c r="A819" s="274">
        <v>11320</v>
      </c>
      <c r="B819" s="275" t="s">
        <v>353</v>
      </c>
      <c r="C819" s="275" t="s">
        <v>354</v>
      </c>
      <c r="D819" s="275" t="s">
        <v>85</v>
      </c>
      <c r="E819" s="276">
        <v>2.25</v>
      </c>
      <c r="F819" s="276" t="s">
        <v>109</v>
      </c>
      <c r="G819" s="276">
        <v>0</v>
      </c>
      <c r="H819" s="276">
        <v>14</v>
      </c>
      <c r="I819" s="276">
        <v>210</v>
      </c>
      <c r="J819" s="276">
        <v>4</v>
      </c>
      <c r="K819" s="276">
        <v>228</v>
      </c>
      <c r="L819" s="276">
        <v>212</v>
      </c>
      <c r="M819" s="277">
        <v>477</v>
      </c>
    </row>
    <row r="820" spans="1:13" ht="14.25">
      <c r="A820" s="278">
        <v>11320</v>
      </c>
      <c r="B820" s="279" t="s">
        <v>353</v>
      </c>
      <c r="C820" s="279" t="s">
        <v>355</v>
      </c>
      <c r="D820" s="279" t="s">
        <v>356</v>
      </c>
      <c r="E820" s="280">
        <v>2.8</v>
      </c>
      <c r="F820" s="280" t="s">
        <v>132</v>
      </c>
      <c r="G820" s="280">
        <v>0</v>
      </c>
      <c r="H820" s="280">
        <v>0</v>
      </c>
      <c r="I820" s="280">
        <v>1</v>
      </c>
      <c r="J820" s="280">
        <v>0</v>
      </c>
      <c r="K820" s="280">
        <v>1</v>
      </c>
      <c r="L820" s="280">
        <v>1</v>
      </c>
      <c r="M820" s="281">
        <v>2.8</v>
      </c>
    </row>
    <row r="821" spans="1:13" ht="14.25">
      <c r="A821" s="274">
        <v>11320</v>
      </c>
      <c r="B821" s="275" t="s">
        <v>353</v>
      </c>
      <c r="C821" s="275" t="s">
        <v>355</v>
      </c>
      <c r="D821" s="275" t="s">
        <v>356</v>
      </c>
      <c r="E821" s="276">
        <v>2.8</v>
      </c>
      <c r="F821" s="276" t="s">
        <v>109</v>
      </c>
      <c r="G821" s="276">
        <v>0</v>
      </c>
      <c r="H821" s="276">
        <v>12</v>
      </c>
      <c r="I821" s="276">
        <v>192</v>
      </c>
      <c r="J821" s="276">
        <v>1</v>
      </c>
      <c r="K821" s="276">
        <v>205</v>
      </c>
      <c r="L821" s="276">
        <v>192.5</v>
      </c>
      <c r="M821" s="277">
        <v>539</v>
      </c>
    </row>
    <row r="822" spans="1:13" ht="14.25">
      <c r="A822" s="278">
        <v>11320</v>
      </c>
      <c r="B822" s="279" t="s">
        <v>353</v>
      </c>
      <c r="C822" s="279" t="s">
        <v>82</v>
      </c>
      <c r="D822" s="279" t="s">
        <v>83</v>
      </c>
      <c r="E822" s="280">
        <v>1.65</v>
      </c>
      <c r="F822" s="280" t="s">
        <v>109</v>
      </c>
      <c r="G822" s="280">
        <v>0</v>
      </c>
      <c r="H822" s="280">
        <v>25</v>
      </c>
      <c r="I822" s="280">
        <v>255</v>
      </c>
      <c r="J822" s="280">
        <v>0</v>
      </c>
      <c r="K822" s="280">
        <v>280</v>
      </c>
      <c r="L822" s="280">
        <v>255</v>
      </c>
      <c r="M822" s="281">
        <v>420.75</v>
      </c>
    </row>
    <row r="823" spans="1:13" ht="14.25">
      <c r="A823" s="274">
        <v>11320</v>
      </c>
      <c r="B823" s="275" t="s">
        <v>353</v>
      </c>
      <c r="C823" s="275" t="s">
        <v>84</v>
      </c>
      <c r="D823" s="275" t="s">
        <v>85</v>
      </c>
      <c r="E823" s="276">
        <v>2.25</v>
      </c>
      <c r="F823" s="276" t="s">
        <v>116</v>
      </c>
      <c r="G823" s="276">
        <v>0</v>
      </c>
      <c r="H823" s="276">
        <v>0</v>
      </c>
      <c r="I823" s="276">
        <v>75</v>
      </c>
      <c r="J823" s="276">
        <v>0</v>
      </c>
      <c r="K823" s="276">
        <v>75</v>
      </c>
      <c r="L823" s="276">
        <v>75</v>
      </c>
      <c r="M823" s="277">
        <v>168.75</v>
      </c>
    </row>
    <row r="824" spans="1:13" ht="14.25">
      <c r="A824" s="278">
        <v>11320</v>
      </c>
      <c r="B824" s="279" t="s">
        <v>353</v>
      </c>
      <c r="C824" s="279" t="s">
        <v>84</v>
      </c>
      <c r="D824" s="279" t="s">
        <v>85</v>
      </c>
      <c r="E824" s="280">
        <v>2.25</v>
      </c>
      <c r="F824" s="280" t="s">
        <v>114</v>
      </c>
      <c r="G824" s="280">
        <v>0</v>
      </c>
      <c r="H824" s="280">
        <v>7</v>
      </c>
      <c r="I824" s="280">
        <v>95</v>
      </c>
      <c r="J824" s="280">
        <v>1</v>
      </c>
      <c r="K824" s="280">
        <v>103</v>
      </c>
      <c r="L824" s="280">
        <v>95.5</v>
      </c>
      <c r="M824" s="281">
        <v>214.88</v>
      </c>
    </row>
    <row r="825" spans="1:13" ht="14.25">
      <c r="A825" s="274">
        <v>11320</v>
      </c>
      <c r="B825" s="275" t="s">
        <v>353</v>
      </c>
      <c r="C825" s="275" t="s">
        <v>357</v>
      </c>
      <c r="D825" s="275" t="s">
        <v>356</v>
      </c>
      <c r="E825" s="276">
        <v>2.8</v>
      </c>
      <c r="F825" s="276" t="s">
        <v>116</v>
      </c>
      <c r="G825" s="276">
        <v>0</v>
      </c>
      <c r="H825" s="276">
        <v>0</v>
      </c>
      <c r="I825" s="276">
        <v>87</v>
      </c>
      <c r="J825" s="276">
        <v>0</v>
      </c>
      <c r="K825" s="276">
        <v>87</v>
      </c>
      <c r="L825" s="276">
        <v>87</v>
      </c>
      <c r="M825" s="277">
        <v>243.6</v>
      </c>
    </row>
    <row r="826" spans="1:13" ht="14.25">
      <c r="A826" s="278">
        <v>11320</v>
      </c>
      <c r="B826" s="279" t="s">
        <v>353</v>
      </c>
      <c r="C826" s="279" t="s">
        <v>357</v>
      </c>
      <c r="D826" s="279" t="s">
        <v>356</v>
      </c>
      <c r="E826" s="280">
        <v>2.8</v>
      </c>
      <c r="F826" s="280" t="s">
        <v>114</v>
      </c>
      <c r="G826" s="280">
        <v>0</v>
      </c>
      <c r="H826" s="280">
        <v>3</v>
      </c>
      <c r="I826" s="280">
        <v>71</v>
      </c>
      <c r="J826" s="280">
        <v>0</v>
      </c>
      <c r="K826" s="280">
        <v>74</v>
      </c>
      <c r="L826" s="280">
        <v>71</v>
      </c>
      <c r="M826" s="281">
        <v>198.8</v>
      </c>
    </row>
    <row r="827" spans="1:13" ht="14.25">
      <c r="A827" s="274">
        <v>11320</v>
      </c>
      <c r="B827" s="275" t="s">
        <v>353</v>
      </c>
      <c r="C827" s="275" t="s">
        <v>86</v>
      </c>
      <c r="D827" s="275" t="s">
        <v>83</v>
      </c>
      <c r="E827" s="276">
        <v>1.65</v>
      </c>
      <c r="F827" s="276" t="s">
        <v>116</v>
      </c>
      <c r="G827" s="276">
        <v>0</v>
      </c>
      <c r="H827" s="276">
        <v>3</v>
      </c>
      <c r="I827" s="276">
        <v>73</v>
      </c>
      <c r="J827" s="276">
        <v>0</v>
      </c>
      <c r="K827" s="276">
        <v>76</v>
      </c>
      <c r="L827" s="276">
        <v>73</v>
      </c>
      <c r="M827" s="277">
        <v>120.45</v>
      </c>
    </row>
    <row r="828" spans="1:13" ht="14.25">
      <c r="A828" s="278">
        <v>11320</v>
      </c>
      <c r="B828" s="279" t="s">
        <v>353</v>
      </c>
      <c r="C828" s="279" t="s">
        <v>86</v>
      </c>
      <c r="D828" s="279" t="s">
        <v>83</v>
      </c>
      <c r="E828" s="280">
        <v>1.65</v>
      </c>
      <c r="F828" s="280" t="s">
        <v>114</v>
      </c>
      <c r="G828" s="280">
        <v>0</v>
      </c>
      <c r="H828" s="280">
        <v>18</v>
      </c>
      <c r="I828" s="280">
        <v>125</v>
      </c>
      <c r="J828" s="280">
        <v>1</v>
      </c>
      <c r="K828" s="280">
        <v>144</v>
      </c>
      <c r="L828" s="280">
        <v>125.5</v>
      </c>
      <c r="M828" s="281">
        <v>207.08</v>
      </c>
    </row>
    <row r="829" spans="1:13" ht="14.25">
      <c r="A829" s="274">
        <v>11320</v>
      </c>
      <c r="B829" s="275" t="s">
        <v>353</v>
      </c>
      <c r="C829" s="275" t="s">
        <v>1146</v>
      </c>
      <c r="D829" s="275" t="s">
        <v>1147</v>
      </c>
      <c r="E829" s="276">
        <v>2.8</v>
      </c>
      <c r="F829" s="276" t="s">
        <v>119</v>
      </c>
      <c r="G829" s="276">
        <v>0</v>
      </c>
      <c r="H829" s="276">
        <v>0</v>
      </c>
      <c r="I829" s="276">
        <v>2</v>
      </c>
      <c r="J829" s="276">
        <v>0</v>
      </c>
      <c r="K829" s="276">
        <v>2</v>
      </c>
      <c r="L829" s="276">
        <v>2</v>
      </c>
      <c r="M829" s="277">
        <v>5.6</v>
      </c>
    </row>
    <row r="830" spans="1:13" ht="14.25">
      <c r="A830" s="278">
        <v>11320</v>
      </c>
      <c r="B830" s="279" t="s">
        <v>353</v>
      </c>
      <c r="C830" s="279" t="s">
        <v>1148</v>
      </c>
      <c r="D830" s="279" t="s">
        <v>1149</v>
      </c>
      <c r="E830" s="280">
        <v>2.8</v>
      </c>
      <c r="F830" s="280" t="s">
        <v>119</v>
      </c>
      <c r="G830" s="280">
        <v>0</v>
      </c>
      <c r="H830" s="280">
        <v>0</v>
      </c>
      <c r="I830" s="280">
        <v>2</v>
      </c>
      <c r="J830" s="280">
        <v>0</v>
      </c>
      <c r="K830" s="280">
        <v>2</v>
      </c>
      <c r="L830" s="280">
        <v>2</v>
      </c>
      <c r="M830" s="281">
        <v>5.6</v>
      </c>
    </row>
    <row r="831" spans="1:13" ht="14.25">
      <c r="A831" s="274">
        <v>11320</v>
      </c>
      <c r="B831" s="275" t="s">
        <v>353</v>
      </c>
      <c r="C831" s="275" t="s">
        <v>1150</v>
      </c>
      <c r="D831" s="275" t="s">
        <v>1151</v>
      </c>
      <c r="E831" s="276">
        <v>2.8</v>
      </c>
      <c r="F831" s="276" t="s">
        <v>119</v>
      </c>
      <c r="G831" s="276">
        <v>0</v>
      </c>
      <c r="H831" s="276">
        <v>0</v>
      </c>
      <c r="I831" s="276">
        <v>1</v>
      </c>
      <c r="J831" s="276">
        <v>0</v>
      </c>
      <c r="K831" s="276">
        <v>1</v>
      </c>
      <c r="L831" s="276">
        <v>1</v>
      </c>
      <c r="M831" s="277">
        <v>2.8</v>
      </c>
    </row>
    <row r="832" spans="1:13" ht="14.25">
      <c r="A832" s="278">
        <v>11320</v>
      </c>
      <c r="B832" s="279" t="s">
        <v>353</v>
      </c>
      <c r="C832" s="279" t="s">
        <v>1152</v>
      </c>
      <c r="D832" s="279" t="s">
        <v>1153</v>
      </c>
      <c r="E832" s="280">
        <v>2.8</v>
      </c>
      <c r="F832" s="280" t="s">
        <v>119</v>
      </c>
      <c r="G832" s="280">
        <v>0</v>
      </c>
      <c r="H832" s="280">
        <v>0</v>
      </c>
      <c r="I832" s="280">
        <v>2</v>
      </c>
      <c r="J832" s="280">
        <v>0</v>
      </c>
      <c r="K832" s="280">
        <v>2</v>
      </c>
      <c r="L832" s="280">
        <v>2</v>
      </c>
      <c r="M832" s="281">
        <v>5.6</v>
      </c>
    </row>
    <row r="833" spans="1:13" ht="14.25">
      <c r="A833" s="274">
        <v>11320</v>
      </c>
      <c r="B833" s="275" t="s">
        <v>353</v>
      </c>
      <c r="C833" s="275" t="s">
        <v>1154</v>
      </c>
      <c r="D833" s="275" t="s">
        <v>1155</v>
      </c>
      <c r="E833" s="276">
        <v>2.8</v>
      </c>
      <c r="F833" s="276" t="s">
        <v>119</v>
      </c>
      <c r="G833" s="276">
        <v>0</v>
      </c>
      <c r="H833" s="276">
        <v>0</v>
      </c>
      <c r="I833" s="276">
        <v>5</v>
      </c>
      <c r="J833" s="276">
        <v>0</v>
      </c>
      <c r="K833" s="276">
        <v>5</v>
      </c>
      <c r="L833" s="276">
        <v>5</v>
      </c>
      <c r="M833" s="277">
        <v>14</v>
      </c>
    </row>
    <row r="834" spans="1:13" ht="14.25">
      <c r="A834" s="278">
        <v>11320</v>
      </c>
      <c r="B834" s="279" t="s">
        <v>353</v>
      </c>
      <c r="C834" s="279" t="s">
        <v>1156</v>
      </c>
      <c r="D834" s="279" t="s">
        <v>1157</v>
      </c>
      <c r="E834" s="280">
        <v>2.8</v>
      </c>
      <c r="F834" s="280" t="s">
        <v>119</v>
      </c>
      <c r="G834" s="280">
        <v>0</v>
      </c>
      <c r="H834" s="280">
        <v>0</v>
      </c>
      <c r="I834" s="280">
        <v>5</v>
      </c>
      <c r="J834" s="280">
        <v>0</v>
      </c>
      <c r="K834" s="280">
        <v>5</v>
      </c>
      <c r="L834" s="280">
        <v>5</v>
      </c>
      <c r="M834" s="281">
        <v>14</v>
      </c>
    </row>
    <row r="835" spans="1:13" ht="14.25">
      <c r="A835" s="274">
        <v>11320</v>
      </c>
      <c r="B835" s="275" t="s">
        <v>353</v>
      </c>
      <c r="C835" s="275" t="s">
        <v>1158</v>
      </c>
      <c r="D835" s="275" t="s">
        <v>1159</v>
      </c>
      <c r="E835" s="276">
        <v>2.8</v>
      </c>
      <c r="F835" s="276" t="s">
        <v>119</v>
      </c>
      <c r="G835" s="276">
        <v>0</v>
      </c>
      <c r="H835" s="276">
        <v>0</v>
      </c>
      <c r="I835" s="276">
        <v>9</v>
      </c>
      <c r="J835" s="276">
        <v>0</v>
      </c>
      <c r="K835" s="276">
        <v>9</v>
      </c>
      <c r="L835" s="276">
        <v>9</v>
      </c>
      <c r="M835" s="277">
        <v>25.2</v>
      </c>
    </row>
    <row r="836" spans="1:13" ht="14.25">
      <c r="A836" s="278">
        <v>11320</v>
      </c>
      <c r="B836" s="279" t="s">
        <v>353</v>
      </c>
      <c r="C836" s="279" t="s">
        <v>1160</v>
      </c>
      <c r="D836" s="279" t="s">
        <v>1161</v>
      </c>
      <c r="E836" s="280">
        <v>2.8</v>
      </c>
      <c r="F836" s="280" t="s">
        <v>119</v>
      </c>
      <c r="G836" s="280">
        <v>0</v>
      </c>
      <c r="H836" s="280">
        <v>0</v>
      </c>
      <c r="I836" s="280">
        <v>1</v>
      </c>
      <c r="J836" s="280">
        <v>0</v>
      </c>
      <c r="K836" s="280">
        <v>1</v>
      </c>
      <c r="L836" s="280">
        <v>1</v>
      </c>
      <c r="M836" s="281">
        <v>2.8</v>
      </c>
    </row>
    <row r="837" spans="1:13" ht="14.25">
      <c r="A837" s="274">
        <v>11320</v>
      </c>
      <c r="B837" s="275" t="s">
        <v>353</v>
      </c>
      <c r="C837" s="275" t="s">
        <v>1162</v>
      </c>
      <c r="D837" s="275" t="s">
        <v>1163</v>
      </c>
      <c r="E837" s="276">
        <v>2.8</v>
      </c>
      <c r="F837" s="276" t="s">
        <v>119</v>
      </c>
      <c r="G837" s="276">
        <v>0</v>
      </c>
      <c r="H837" s="276">
        <v>0</v>
      </c>
      <c r="I837" s="276">
        <v>5</v>
      </c>
      <c r="J837" s="276">
        <v>0</v>
      </c>
      <c r="K837" s="276">
        <v>5</v>
      </c>
      <c r="L837" s="276">
        <v>5</v>
      </c>
      <c r="M837" s="277">
        <v>14</v>
      </c>
    </row>
    <row r="838" spans="1:13" ht="14.25">
      <c r="A838" s="278">
        <v>11320</v>
      </c>
      <c r="B838" s="279" t="s">
        <v>353</v>
      </c>
      <c r="C838" s="279" t="s">
        <v>1164</v>
      </c>
      <c r="D838" s="279" t="s">
        <v>1165</v>
      </c>
      <c r="E838" s="280">
        <v>2.8</v>
      </c>
      <c r="F838" s="280" t="s">
        <v>119</v>
      </c>
      <c r="G838" s="280">
        <v>0</v>
      </c>
      <c r="H838" s="280">
        <v>0</v>
      </c>
      <c r="I838" s="280">
        <v>8</v>
      </c>
      <c r="J838" s="280">
        <v>0</v>
      </c>
      <c r="K838" s="280">
        <v>8</v>
      </c>
      <c r="L838" s="280">
        <v>8</v>
      </c>
      <c r="M838" s="281">
        <v>22.4</v>
      </c>
    </row>
    <row r="839" spans="1:13" ht="14.25">
      <c r="A839" s="274">
        <v>11320</v>
      </c>
      <c r="B839" s="275" t="s">
        <v>353</v>
      </c>
      <c r="C839" s="275" t="s">
        <v>1166</v>
      </c>
      <c r="D839" s="275" t="s">
        <v>1167</v>
      </c>
      <c r="E839" s="276">
        <v>2.8</v>
      </c>
      <c r="F839" s="276" t="s">
        <v>119</v>
      </c>
      <c r="G839" s="276">
        <v>0</v>
      </c>
      <c r="H839" s="276">
        <v>0</v>
      </c>
      <c r="I839" s="276">
        <v>2</v>
      </c>
      <c r="J839" s="276">
        <v>0</v>
      </c>
      <c r="K839" s="276">
        <v>2</v>
      </c>
      <c r="L839" s="276">
        <v>2</v>
      </c>
      <c r="M839" s="277">
        <v>5.6</v>
      </c>
    </row>
    <row r="840" spans="1:13" ht="14.25">
      <c r="A840" s="278">
        <v>11320</v>
      </c>
      <c r="B840" s="279" t="s">
        <v>353</v>
      </c>
      <c r="C840" s="279" t="s">
        <v>1168</v>
      </c>
      <c r="D840" s="279" t="s">
        <v>1169</v>
      </c>
      <c r="E840" s="280">
        <v>2.8</v>
      </c>
      <c r="F840" s="280" t="s">
        <v>119</v>
      </c>
      <c r="G840" s="280">
        <v>0</v>
      </c>
      <c r="H840" s="280">
        <v>0</v>
      </c>
      <c r="I840" s="280">
        <v>3</v>
      </c>
      <c r="J840" s="280">
        <v>0</v>
      </c>
      <c r="K840" s="280">
        <v>3</v>
      </c>
      <c r="L840" s="280">
        <v>3</v>
      </c>
      <c r="M840" s="281">
        <v>8.4</v>
      </c>
    </row>
    <row r="841" spans="1:13" ht="14.25">
      <c r="A841" s="274">
        <v>11320</v>
      </c>
      <c r="B841" s="275" t="s">
        <v>353</v>
      </c>
      <c r="C841" s="275" t="s">
        <v>1170</v>
      </c>
      <c r="D841" s="275" t="s">
        <v>1171</v>
      </c>
      <c r="E841" s="276">
        <v>2.8</v>
      </c>
      <c r="F841" s="276" t="s">
        <v>119</v>
      </c>
      <c r="G841" s="276">
        <v>0</v>
      </c>
      <c r="H841" s="276">
        <v>0</v>
      </c>
      <c r="I841" s="276">
        <v>1</v>
      </c>
      <c r="J841" s="276">
        <v>0</v>
      </c>
      <c r="K841" s="276">
        <v>1</v>
      </c>
      <c r="L841" s="276">
        <v>1</v>
      </c>
      <c r="M841" s="277">
        <v>2.8</v>
      </c>
    </row>
    <row r="842" spans="1:13" ht="14.25">
      <c r="A842" s="278">
        <v>11320</v>
      </c>
      <c r="B842" s="279" t="s">
        <v>353</v>
      </c>
      <c r="C842" s="279" t="s">
        <v>1172</v>
      </c>
      <c r="D842" s="279" t="s">
        <v>1173</v>
      </c>
      <c r="E842" s="280">
        <v>2.8</v>
      </c>
      <c r="F842" s="280" t="s">
        <v>119</v>
      </c>
      <c r="G842" s="280">
        <v>0</v>
      </c>
      <c r="H842" s="280">
        <v>0</v>
      </c>
      <c r="I842" s="280">
        <v>5</v>
      </c>
      <c r="J842" s="280">
        <v>0</v>
      </c>
      <c r="K842" s="280">
        <v>5</v>
      </c>
      <c r="L842" s="280">
        <v>5</v>
      </c>
      <c r="M842" s="281">
        <v>14</v>
      </c>
    </row>
    <row r="843" spans="1:13" ht="14.25">
      <c r="A843" s="274">
        <v>11320</v>
      </c>
      <c r="B843" s="275" t="s">
        <v>353</v>
      </c>
      <c r="C843" s="275" t="s">
        <v>1174</v>
      </c>
      <c r="D843" s="275" t="s">
        <v>1175</v>
      </c>
      <c r="E843" s="276">
        <v>2.25</v>
      </c>
      <c r="F843" s="276" t="s">
        <v>119</v>
      </c>
      <c r="G843" s="276">
        <v>0</v>
      </c>
      <c r="H843" s="276">
        <v>0</v>
      </c>
      <c r="I843" s="276">
        <v>1</v>
      </c>
      <c r="J843" s="276">
        <v>0</v>
      </c>
      <c r="K843" s="276">
        <v>1</v>
      </c>
      <c r="L843" s="276">
        <v>1</v>
      </c>
      <c r="M843" s="277">
        <v>2.25</v>
      </c>
    </row>
    <row r="844" spans="1:13" ht="14.25">
      <c r="A844" s="278">
        <v>11320</v>
      </c>
      <c r="B844" s="279" t="s">
        <v>353</v>
      </c>
      <c r="C844" s="279" t="s">
        <v>1176</v>
      </c>
      <c r="D844" s="279" t="s">
        <v>1177</v>
      </c>
      <c r="E844" s="280">
        <v>2.25</v>
      </c>
      <c r="F844" s="280" t="s">
        <v>119</v>
      </c>
      <c r="G844" s="280">
        <v>0</v>
      </c>
      <c r="H844" s="280">
        <v>0</v>
      </c>
      <c r="I844" s="280">
        <v>3</v>
      </c>
      <c r="J844" s="280">
        <v>0</v>
      </c>
      <c r="K844" s="280">
        <v>3</v>
      </c>
      <c r="L844" s="280">
        <v>3</v>
      </c>
      <c r="M844" s="281">
        <v>6.75</v>
      </c>
    </row>
    <row r="845" spans="1:13" ht="14.25">
      <c r="A845" s="274">
        <v>11320</v>
      </c>
      <c r="B845" s="275" t="s">
        <v>353</v>
      </c>
      <c r="C845" s="275" t="s">
        <v>1178</v>
      </c>
      <c r="D845" s="275" t="s">
        <v>1179</v>
      </c>
      <c r="E845" s="276">
        <v>2.25</v>
      </c>
      <c r="F845" s="276" t="s">
        <v>119</v>
      </c>
      <c r="G845" s="276">
        <v>0</v>
      </c>
      <c r="H845" s="276">
        <v>0</v>
      </c>
      <c r="I845" s="276">
        <v>2</v>
      </c>
      <c r="J845" s="276">
        <v>0</v>
      </c>
      <c r="K845" s="276">
        <v>2</v>
      </c>
      <c r="L845" s="276">
        <v>2</v>
      </c>
      <c r="M845" s="277">
        <v>4.5</v>
      </c>
    </row>
    <row r="846" spans="1:13" ht="14.25">
      <c r="A846" s="278">
        <v>11320</v>
      </c>
      <c r="B846" s="279" t="s">
        <v>353</v>
      </c>
      <c r="C846" s="279" t="s">
        <v>1180</v>
      </c>
      <c r="D846" s="279" t="s">
        <v>1181</v>
      </c>
      <c r="E846" s="280">
        <v>2.25</v>
      </c>
      <c r="F846" s="280" t="s">
        <v>119</v>
      </c>
      <c r="G846" s="280">
        <v>0</v>
      </c>
      <c r="H846" s="280">
        <v>0</v>
      </c>
      <c r="I846" s="280">
        <v>6</v>
      </c>
      <c r="J846" s="280">
        <v>0</v>
      </c>
      <c r="K846" s="280">
        <v>6</v>
      </c>
      <c r="L846" s="280">
        <v>6</v>
      </c>
      <c r="M846" s="281">
        <v>13.5</v>
      </c>
    </row>
    <row r="847" spans="1:13" ht="14.25">
      <c r="A847" s="274">
        <v>11320</v>
      </c>
      <c r="B847" s="275" t="s">
        <v>353</v>
      </c>
      <c r="C847" s="275" t="s">
        <v>1182</v>
      </c>
      <c r="D847" s="275" t="s">
        <v>1183</v>
      </c>
      <c r="E847" s="276">
        <v>2.25</v>
      </c>
      <c r="F847" s="276" t="s">
        <v>119</v>
      </c>
      <c r="G847" s="276">
        <v>0</v>
      </c>
      <c r="H847" s="276">
        <v>0</v>
      </c>
      <c r="I847" s="276">
        <v>1</v>
      </c>
      <c r="J847" s="276">
        <v>0</v>
      </c>
      <c r="K847" s="276">
        <v>1</v>
      </c>
      <c r="L847" s="276">
        <v>1</v>
      </c>
      <c r="M847" s="277">
        <v>2.25</v>
      </c>
    </row>
    <row r="848" spans="1:13" ht="14.25">
      <c r="A848" s="278">
        <v>11320</v>
      </c>
      <c r="B848" s="279" t="s">
        <v>353</v>
      </c>
      <c r="C848" s="279" t="s">
        <v>1184</v>
      </c>
      <c r="D848" s="279" t="s">
        <v>1185</v>
      </c>
      <c r="E848" s="280">
        <v>2.25</v>
      </c>
      <c r="F848" s="280" t="s">
        <v>119</v>
      </c>
      <c r="G848" s="280">
        <v>0</v>
      </c>
      <c r="H848" s="280">
        <v>0</v>
      </c>
      <c r="I848" s="280">
        <v>2</v>
      </c>
      <c r="J848" s="280">
        <v>0</v>
      </c>
      <c r="K848" s="280">
        <v>2</v>
      </c>
      <c r="L848" s="280">
        <v>2</v>
      </c>
      <c r="M848" s="281">
        <v>4.5</v>
      </c>
    </row>
    <row r="849" spans="1:13" ht="14.25">
      <c r="A849" s="274">
        <v>11320</v>
      </c>
      <c r="B849" s="275" t="s">
        <v>353</v>
      </c>
      <c r="C849" s="275" t="s">
        <v>1186</v>
      </c>
      <c r="D849" s="275" t="s">
        <v>1187</v>
      </c>
      <c r="E849" s="276">
        <v>2.25</v>
      </c>
      <c r="F849" s="276" t="s">
        <v>119</v>
      </c>
      <c r="G849" s="276">
        <v>0</v>
      </c>
      <c r="H849" s="276">
        <v>0</v>
      </c>
      <c r="I849" s="276">
        <v>1</v>
      </c>
      <c r="J849" s="276">
        <v>0</v>
      </c>
      <c r="K849" s="276">
        <v>1</v>
      </c>
      <c r="L849" s="276">
        <v>1</v>
      </c>
      <c r="M849" s="277">
        <v>2.25</v>
      </c>
    </row>
    <row r="850" spans="1:13" ht="21">
      <c r="A850" s="278">
        <v>11320</v>
      </c>
      <c r="B850" s="279" t="s">
        <v>353</v>
      </c>
      <c r="C850" s="279" t="s">
        <v>1188</v>
      </c>
      <c r="D850" s="279" t="s">
        <v>1189</v>
      </c>
      <c r="E850" s="280">
        <v>2.25</v>
      </c>
      <c r="F850" s="280" t="s">
        <v>119</v>
      </c>
      <c r="G850" s="280">
        <v>0</v>
      </c>
      <c r="H850" s="280">
        <v>0</v>
      </c>
      <c r="I850" s="280">
        <v>3</v>
      </c>
      <c r="J850" s="280">
        <v>0</v>
      </c>
      <c r="K850" s="280">
        <v>3</v>
      </c>
      <c r="L850" s="280">
        <v>3</v>
      </c>
      <c r="M850" s="281">
        <v>6.75</v>
      </c>
    </row>
    <row r="851" spans="1:13" ht="14.25">
      <c r="A851" s="274">
        <v>11320</v>
      </c>
      <c r="B851" s="275" t="s">
        <v>353</v>
      </c>
      <c r="C851" s="275" t="s">
        <v>1190</v>
      </c>
      <c r="D851" s="275" t="s">
        <v>1191</v>
      </c>
      <c r="E851" s="276">
        <v>1.65</v>
      </c>
      <c r="F851" s="276" t="s">
        <v>119</v>
      </c>
      <c r="G851" s="276">
        <v>0</v>
      </c>
      <c r="H851" s="276">
        <v>0</v>
      </c>
      <c r="I851" s="276">
        <v>5</v>
      </c>
      <c r="J851" s="276">
        <v>0</v>
      </c>
      <c r="K851" s="276">
        <v>5</v>
      </c>
      <c r="L851" s="276">
        <v>5</v>
      </c>
      <c r="M851" s="277">
        <v>8.25</v>
      </c>
    </row>
    <row r="852" spans="1:13" ht="14.25">
      <c r="A852" s="278">
        <v>11320</v>
      </c>
      <c r="B852" s="279" t="s">
        <v>353</v>
      </c>
      <c r="C852" s="279" t="s">
        <v>1192</v>
      </c>
      <c r="D852" s="279" t="s">
        <v>1193</v>
      </c>
      <c r="E852" s="280">
        <v>1.65</v>
      </c>
      <c r="F852" s="280" t="s">
        <v>119</v>
      </c>
      <c r="G852" s="280">
        <v>0</v>
      </c>
      <c r="H852" s="280">
        <v>0</v>
      </c>
      <c r="I852" s="280">
        <v>3</v>
      </c>
      <c r="J852" s="280">
        <v>0</v>
      </c>
      <c r="K852" s="280">
        <v>3</v>
      </c>
      <c r="L852" s="280">
        <v>3</v>
      </c>
      <c r="M852" s="281">
        <v>4.95</v>
      </c>
    </row>
    <row r="853" spans="1:13" ht="14.25">
      <c r="A853" s="274">
        <v>11320</v>
      </c>
      <c r="B853" s="275" t="s">
        <v>353</v>
      </c>
      <c r="C853" s="275" t="s">
        <v>1194</v>
      </c>
      <c r="D853" s="275" t="s">
        <v>1195</v>
      </c>
      <c r="E853" s="276">
        <v>1.65</v>
      </c>
      <c r="F853" s="276" t="s">
        <v>119</v>
      </c>
      <c r="G853" s="276">
        <v>0</v>
      </c>
      <c r="H853" s="276">
        <v>0</v>
      </c>
      <c r="I853" s="276">
        <v>3</v>
      </c>
      <c r="J853" s="276">
        <v>0</v>
      </c>
      <c r="K853" s="276">
        <v>3</v>
      </c>
      <c r="L853" s="276">
        <v>3</v>
      </c>
      <c r="M853" s="277">
        <v>4.95</v>
      </c>
    </row>
    <row r="854" spans="1:13" ht="14.25">
      <c r="A854" s="278">
        <v>11320</v>
      </c>
      <c r="B854" s="279" t="s">
        <v>353</v>
      </c>
      <c r="C854" s="279" t="s">
        <v>1196</v>
      </c>
      <c r="D854" s="279" t="s">
        <v>1197</v>
      </c>
      <c r="E854" s="280">
        <v>1.65</v>
      </c>
      <c r="F854" s="280" t="s">
        <v>119</v>
      </c>
      <c r="G854" s="280">
        <v>0</v>
      </c>
      <c r="H854" s="280">
        <v>0</v>
      </c>
      <c r="I854" s="280">
        <v>6</v>
      </c>
      <c r="J854" s="280">
        <v>0</v>
      </c>
      <c r="K854" s="280">
        <v>6</v>
      </c>
      <c r="L854" s="280">
        <v>6</v>
      </c>
      <c r="M854" s="281">
        <v>9.9</v>
      </c>
    </row>
    <row r="855" spans="1:13" ht="14.25">
      <c r="A855" s="274">
        <v>11320</v>
      </c>
      <c r="B855" s="275" t="s">
        <v>353</v>
      </c>
      <c r="C855" s="275" t="s">
        <v>1198</v>
      </c>
      <c r="D855" s="275" t="s">
        <v>1199</v>
      </c>
      <c r="E855" s="276">
        <v>1.65</v>
      </c>
      <c r="F855" s="276" t="s">
        <v>119</v>
      </c>
      <c r="G855" s="276">
        <v>0</v>
      </c>
      <c r="H855" s="276">
        <v>0</v>
      </c>
      <c r="I855" s="276">
        <v>3</v>
      </c>
      <c r="J855" s="276">
        <v>0</v>
      </c>
      <c r="K855" s="276">
        <v>3</v>
      </c>
      <c r="L855" s="276">
        <v>3</v>
      </c>
      <c r="M855" s="277">
        <v>4.95</v>
      </c>
    </row>
    <row r="856" spans="1:13" ht="14.25">
      <c r="A856" s="278">
        <v>11320</v>
      </c>
      <c r="B856" s="279" t="s">
        <v>353</v>
      </c>
      <c r="C856" s="279" t="s">
        <v>1200</v>
      </c>
      <c r="D856" s="279" t="s">
        <v>1201</v>
      </c>
      <c r="E856" s="280">
        <v>1.65</v>
      </c>
      <c r="F856" s="280" t="s">
        <v>119</v>
      </c>
      <c r="G856" s="280">
        <v>0</v>
      </c>
      <c r="H856" s="280">
        <v>0</v>
      </c>
      <c r="I856" s="280">
        <v>2</v>
      </c>
      <c r="J856" s="280">
        <v>0</v>
      </c>
      <c r="K856" s="280">
        <v>2</v>
      </c>
      <c r="L856" s="280">
        <v>2</v>
      </c>
      <c r="M856" s="281">
        <v>3.3</v>
      </c>
    </row>
    <row r="857" spans="1:13" ht="14.25">
      <c r="A857" s="274">
        <v>11320</v>
      </c>
      <c r="B857" s="275" t="s">
        <v>353</v>
      </c>
      <c r="C857" s="275" t="s">
        <v>358</v>
      </c>
      <c r="D857" s="275" t="s">
        <v>85</v>
      </c>
      <c r="E857" s="276">
        <v>2.25</v>
      </c>
      <c r="F857" s="276" t="s">
        <v>122</v>
      </c>
      <c r="G857" s="276">
        <v>0</v>
      </c>
      <c r="H857" s="276">
        <v>13</v>
      </c>
      <c r="I857" s="276">
        <v>43</v>
      </c>
      <c r="J857" s="276">
        <v>0</v>
      </c>
      <c r="K857" s="276">
        <v>56</v>
      </c>
      <c r="L857" s="276">
        <v>43</v>
      </c>
      <c r="M857" s="277">
        <v>96.75</v>
      </c>
    </row>
    <row r="858" spans="1:13" ht="14.25">
      <c r="A858" s="278">
        <v>11320</v>
      </c>
      <c r="B858" s="279" t="s">
        <v>353</v>
      </c>
      <c r="C858" s="279" t="s">
        <v>359</v>
      </c>
      <c r="D858" s="279" t="s">
        <v>356</v>
      </c>
      <c r="E858" s="280">
        <v>2.8</v>
      </c>
      <c r="F858" s="280" t="s">
        <v>122</v>
      </c>
      <c r="G858" s="280">
        <v>0</v>
      </c>
      <c r="H858" s="280">
        <v>72</v>
      </c>
      <c r="I858" s="280">
        <v>172</v>
      </c>
      <c r="J858" s="280">
        <v>1</v>
      </c>
      <c r="K858" s="280">
        <v>245</v>
      </c>
      <c r="L858" s="280">
        <v>172.5</v>
      </c>
      <c r="M858" s="281">
        <v>483</v>
      </c>
    </row>
    <row r="859" spans="1:13" ht="14.25">
      <c r="A859" s="274">
        <v>11320</v>
      </c>
      <c r="B859" s="275" t="s">
        <v>353</v>
      </c>
      <c r="C859" s="275" t="s">
        <v>360</v>
      </c>
      <c r="D859" s="275" t="s">
        <v>83</v>
      </c>
      <c r="E859" s="276">
        <v>1.65</v>
      </c>
      <c r="F859" s="276" t="s">
        <v>119</v>
      </c>
      <c r="G859" s="276">
        <v>0</v>
      </c>
      <c r="H859" s="276">
        <v>0</v>
      </c>
      <c r="I859" s="276">
        <v>1</v>
      </c>
      <c r="J859" s="276">
        <v>0</v>
      </c>
      <c r="K859" s="276">
        <v>1</v>
      </c>
      <c r="L859" s="276">
        <v>1</v>
      </c>
      <c r="M859" s="277">
        <v>1.65</v>
      </c>
    </row>
    <row r="860" spans="1:13" ht="14.25">
      <c r="A860" s="278">
        <v>11320</v>
      </c>
      <c r="B860" s="279" t="s">
        <v>353</v>
      </c>
      <c r="C860" s="279" t="s">
        <v>360</v>
      </c>
      <c r="D860" s="279" t="s">
        <v>83</v>
      </c>
      <c r="E860" s="280">
        <v>1.65</v>
      </c>
      <c r="F860" s="280" t="s">
        <v>122</v>
      </c>
      <c r="G860" s="280">
        <v>0</v>
      </c>
      <c r="H860" s="280">
        <v>33</v>
      </c>
      <c r="I860" s="280">
        <v>49</v>
      </c>
      <c r="J860" s="280">
        <v>1</v>
      </c>
      <c r="K860" s="280">
        <v>83</v>
      </c>
      <c r="L860" s="280">
        <v>49.5</v>
      </c>
      <c r="M860" s="281">
        <v>81.68</v>
      </c>
    </row>
    <row r="861" spans="1:13" ht="9.75">
      <c r="A861" s="282">
        <v>11320</v>
      </c>
      <c r="B861" s="283" t="s">
        <v>163</v>
      </c>
      <c r="C861" s="283"/>
      <c r="D861" s="283"/>
      <c r="E861" s="283"/>
      <c r="F861" s="284" t="s">
        <v>132</v>
      </c>
      <c r="G861" s="284">
        <v>403</v>
      </c>
      <c r="H861" s="284">
        <v>6</v>
      </c>
      <c r="I861" s="284">
        <v>76</v>
      </c>
      <c r="J861" s="284">
        <v>0</v>
      </c>
      <c r="K861" s="284">
        <v>485</v>
      </c>
      <c r="L861" s="284"/>
      <c r="M861" s="1052"/>
    </row>
    <row r="862" spans="1:13" ht="9.75">
      <c r="A862" s="282">
        <v>11320</v>
      </c>
      <c r="B862" s="283" t="s">
        <v>163</v>
      </c>
      <c r="C862" s="283"/>
      <c r="D862" s="283"/>
      <c r="E862" s="283"/>
      <c r="F862" s="284" t="s">
        <v>109</v>
      </c>
      <c r="G862" s="284">
        <v>0</v>
      </c>
      <c r="H862" s="284">
        <v>51</v>
      </c>
      <c r="I862" s="284">
        <v>657</v>
      </c>
      <c r="J862" s="284">
        <v>5</v>
      </c>
      <c r="K862" s="284">
        <v>713</v>
      </c>
      <c r="L862" s="284"/>
      <c r="M862" s="1052"/>
    </row>
    <row r="863" spans="1:13" ht="9.75">
      <c r="A863" s="282">
        <v>11320</v>
      </c>
      <c r="B863" s="283" t="s">
        <v>163</v>
      </c>
      <c r="C863" s="283"/>
      <c r="D863" s="283"/>
      <c r="E863" s="283"/>
      <c r="F863" s="284" t="s">
        <v>110</v>
      </c>
      <c r="G863" s="284">
        <v>0</v>
      </c>
      <c r="H863" s="284">
        <v>0</v>
      </c>
      <c r="I863" s="284">
        <v>0</v>
      </c>
      <c r="J863" s="284">
        <v>0</v>
      </c>
      <c r="K863" s="284">
        <v>0</v>
      </c>
      <c r="L863" s="284"/>
      <c r="M863" s="1052"/>
    </row>
    <row r="864" spans="1:13" ht="9.75">
      <c r="A864" s="282">
        <v>11320</v>
      </c>
      <c r="B864" s="283" t="s">
        <v>163</v>
      </c>
      <c r="C864" s="283"/>
      <c r="D864" s="283"/>
      <c r="E864" s="283"/>
      <c r="F864" s="284" t="s">
        <v>113</v>
      </c>
      <c r="G864" s="284">
        <v>0</v>
      </c>
      <c r="H864" s="284">
        <v>0</v>
      </c>
      <c r="I864" s="284">
        <v>0</v>
      </c>
      <c r="J864" s="284">
        <v>0</v>
      </c>
      <c r="K864" s="284">
        <v>0</v>
      </c>
      <c r="L864" s="284"/>
      <c r="M864" s="1052"/>
    </row>
    <row r="865" spans="1:13" ht="9.75">
      <c r="A865" s="282">
        <v>11320</v>
      </c>
      <c r="B865" s="283" t="s">
        <v>163</v>
      </c>
      <c r="C865" s="283"/>
      <c r="D865" s="283"/>
      <c r="E865" s="283"/>
      <c r="F865" s="284" t="s">
        <v>116</v>
      </c>
      <c r="G865" s="284">
        <v>0</v>
      </c>
      <c r="H865" s="284">
        <v>3</v>
      </c>
      <c r="I865" s="284">
        <v>235</v>
      </c>
      <c r="J865" s="284">
        <v>0</v>
      </c>
      <c r="K865" s="284">
        <v>238</v>
      </c>
      <c r="L865" s="284"/>
      <c r="M865" s="1052"/>
    </row>
    <row r="866" spans="1:13" ht="9.75">
      <c r="A866" s="282">
        <v>11320</v>
      </c>
      <c r="B866" s="283" t="s">
        <v>163</v>
      </c>
      <c r="C866" s="283"/>
      <c r="D866" s="283"/>
      <c r="E866" s="283"/>
      <c r="F866" s="284" t="s">
        <v>114</v>
      </c>
      <c r="G866" s="284">
        <v>0</v>
      </c>
      <c r="H866" s="284">
        <v>28</v>
      </c>
      <c r="I866" s="284">
        <v>291</v>
      </c>
      <c r="J866" s="284">
        <v>2</v>
      </c>
      <c r="K866" s="284">
        <v>321</v>
      </c>
      <c r="L866" s="284"/>
      <c r="M866" s="1052"/>
    </row>
    <row r="867" spans="1:13" ht="9.75">
      <c r="A867" s="282">
        <v>11320</v>
      </c>
      <c r="B867" s="283" t="s">
        <v>163</v>
      </c>
      <c r="C867" s="283"/>
      <c r="D867" s="283"/>
      <c r="E867" s="283"/>
      <c r="F867" s="284" t="s">
        <v>119</v>
      </c>
      <c r="G867" s="284">
        <v>0</v>
      </c>
      <c r="H867" s="284">
        <v>0</v>
      </c>
      <c r="I867" s="284">
        <v>93</v>
      </c>
      <c r="J867" s="284">
        <v>0</v>
      </c>
      <c r="K867" s="284">
        <v>93</v>
      </c>
      <c r="L867" s="284"/>
      <c r="M867" s="1052"/>
    </row>
    <row r="868" spans="1:13" ht="9.75">
      <c r="A868" s="282">
        <v>11320</v>
      </c>
      <c r="B868" s="283" t="s">
        <v>163</v>
      </c>
      <c r="C868" s="283"/>
      <c r="D868" s="283"/>
      <c r="E868" s="283"/>
      <c r="F868" s="284" t="s">
        <v>122</v>
      </c>
      <c r="G868" s="284">
        <v>0</v>
      </c>
      <c r="H868" s="284">
        <v>118</v>
      </c>
      <c r="I868" s="284">
        <v>264</v>
      </c>
      <c r="J868" s="284">
        <v>2</v>
      </c>
      <c r="K868" s="284">
        <v>384</v>
      </c>
      <c r="L868" s="284"/>
      <c r="M868" s="1052"/>
    </row>
    <row r="869" spans="1:13" ht="14.25">
      <c r="A869" s="274">
        <v>11410</v>
      </c>
      <c r="B869" s="275" t="s">
        <v>108</v>
      </c>
      <c r="C869" s="275" t="s">
        <v>1202</v>
      </c>
      <c r="D869" s="275" t="s">
        <v>1203</v>
      </c>
      <c r="E869" s="276">
        <v>1.2</v>
      </c>
      <c r="F869" s="276" t="s">
        <v>132</v>
      </c>
      <c r="G869" s="276">
        <v>30</v>
      </c>
      <c r="H869" s="276">
        <v>6</v>
      </c>
      <c r="I869" s="276">
        <v>35</v>
      </c>
      <c r="J869" s="276">
        <v>1</v>
      </c>
      <c r="K869" s="276">
        <v>72</v>
      </c>
      <c r="L869" s="276">
        <v>65.5</v>
      </c>
      <c r="M869" s="277">
        <v>78.6</v>
      </c>
    </row>
    <row r="870" spans="1:13" ht="14.25">
      <c r="A870" s="278">
        <v>11410</v>
      </c>
      <c r="B870" s="279" t="s">
        <v>108</v>
      </c>
      <c r="C870" s="279" t="s">
        <v>361</v>
      </c>
      <c r="D870" s="279" t="s">
        <v>362</v>
      </c>
      <c r="E870" s="280">
        <v>1.2</v>
      </c>
      <c r="F870" s="280" t="s">
        <v>132</v>
      </c>
      <c r="G870" s="280">
        <v>25</v>
      </c>
      <c r="H870" s="280">
        <v>2</v>
      </c>
      <c r="I870" s="280">
        <v>6</v>
      </c>
      <c r="J870" s="280">
        <v>0</v>
      </c>
      <c r="K870" s="280">
        <v>33</v>
      </c>
      <c r="L870" s="280">
        <v>31</v>
      </c>
      <c r="M870" s="281">
        <v>37.2</v>
      </c>
    </row>
    <row r="871" spans="1:13" ht="14.25">
      <c r="A871" s="274">
        <v>11410</v>
      </c>
      <c r="B871" s="275" t="s">
        <v>108</v>
      </c>
      <c r="C871" s="275" t="s">
        <v>361</v>
      </c>
      <c r="D871" s="275" t="s">
        <v>362</v>
      </c>
      <c r="E871" s="276">
        <v>1.2</v>
      </c>
      <c r="F871" s="276" t="s">
        <v>109</v>
      </c>
      <c r="G871" s="276">
        <v>0</v>
      </c>
      <c r="H871" s="276">
        <v>16</v>
      </c>
      <c r="I871" s="276">
        <v>52</v>
      </c>
      <c r="J871" s="276">
        <v>3</v>
      </c>
      <c r="K871" s="276">
        <v>71</v>
      </c>
      <c r="L871" s="276">
        <v>53.5</v>
      </c>
      <c r="M871" s="277">
        <v>64.2</v>
      </c>
    </row>
    <row r="872" spans="1:13" ht="14.25">
      <c r="A872" s="278">
        <v>11410</v>
      </c>
      <c r="B872" s="279" t="s">
        <v>108</v>
      </c>
      <c r="C872" s="279" t="s">
        <v>363</v>
      </c>
      <c r="D872" s="279" t="s">
        <v>364</v>
      </c>
      <c r="E872" s="280">
        <v>1.2</v>
      </c>
      <c r="F872" s="280" t="s">
        <v>132</v>
      </c>
      <c r="G872" s="280">
        <v>39</v>
      </c>
      <c r="H872" s="280">
        <v>2</v>
      </c>
      <c r="I872" s="280">
        <v>52</v>
      </c>
      <c r="J872" s="280">
        <v>1</v>
      </c>
      <c r="K872" s="280">
        <v>94</v>
      </c>
      <c r="L872" s="280">
        <v>91.5</v>
      </c>
      <c r="M872" s="281">
        <v>109.8</v>
      </c>
    </row>
    <row r="873" spans="1:13" ht="14.25">
      <c r="A873" s="274">
        <v>11410</v>
      </c>
      <c r="B873" s="275" t="s">
        <v>108</v>
      </c>
      <c r="C873" s="275" t="s">
        <v>363</v>
      </c>
      <c r="D873" s="275" t="s">
        <v>364</v>
      </c>
      <c r="E873" s="276">
        <v>1.2</v>
      </c>
      <c r="F873" s="276" t="s">
        <v>109</v>
      </c>
      <c r="G873" s="276">
        <v>0</v>
      </c>
      <c r="H873" s="276">
        <v>30</v>
      </c>
      <c r="I873" s="276">
        <v>143</v>
      </c>
      <c r="J873" s="276">
        <v>7</v>
      </c>
      <c r="K873" s="276">
        <v>180</v>
      </c>
      <c r="L873" s="276">
        <v>146.5</v>
      </c>
      <c r="M873" s="277">
        <v>175.8</v>
      </c>
    </row>
    <row r="874" spans="1:13" ht="14.25">
      <c r="A874" s="278">
        <v>11410</v>
      </c>
      <c r="B874" s="279" t="s">
        <v>108</v>
      </c>
      <c r="C874" s="279" t="s">
        <v>88</v>
      </c>
      <c r="D874" s="279" t="s">
        <v>89</v>
      </c>
      <c r="E874" s="280">
        <v>1.2</v>
      </c>
      <c r="F874" s="280" t="s">
        <v>132</v>
      </c>
      <c r="G874" s="280">
        <v>455</v>
      </c>
      <c r="H874" s="280">
        <v>43</v>
      </c>
      <c r="I874" s="280">
        <v>373</v>
      </c>
      <c r="J874" s="280">
        <v>10</v>
      </c>
      <c r="K874" s="280">
        <v>881</v>
      </c>
      <c r="L874" s="280">
        <v>833</v>
      </c>
      <c r="M874" s="281">
        <v>999.6</v>
      </c>
    </row>
    <row r="875" spans="1:13" ht="14.25">
      <c r="A875" s="274">
        <v>11410</v>
      </c>
      <c r="B875" s="275" t="s">
        <v>108</v>
      </c>
      <c r="C875" s="275" t="s">
        <v>88</v>
      </c>
      <c r="D875" s="275" t="s">
        <v>89</v>
      </c>
      <c r="E875" s="276">
        <v>1.2</v>
      </c>
      <c r="F875" s="276" t="s">
        <v>109</v>
      </c>
      <c r="G875" s="276">
        <v>0</v>
      </c>
      <c r="H875" s="276">
        <v>337</v>
      </c>
      <c r="I875" s="276">
        <v>1204</v>
      </c>
      <c r="J875" s="276">
        <v>42</v>
      </c>
      <c r="K875" s="276">
        <v>1583</v>
      </c>
      <c r="L875" s="276">
        <v>1225</v>
      </c>
      <c r="M875" s="277">
        <v>1470</v>
      </c>
    </row>
    <row r="876" spans="1:13" ht="14.25">
      <c r="A876" s="278">
        <v>11410</v>
      </c>
      <c r="B876" s="279" t="s">
        <v>108</v>
      </c>
      <c r="C876" s="279" t="s">
        <v>242</v>
      </c>
      <c r="D876" s="279" t="s">
        <v>20</v>
      </c>
      <c r="E876" s="280">
        <v>1</v>
      </c>
      <c r="F876" s="280" t="s">
        <v>132</v>
      </c>
      <c r="G876" s="280">
        <v>6</v>
      </c>
      <c r="H876" s="280">
        <v>1</v>
      </c>
      <c r="I876" s="280">
        <v>32</v>
      </c>
      <c r="J876" s="280">
        <v>1</v>
      </c>
      <c r="K876" s="280">
        <v>40</v>
      </c>
      <c r="L876" s="280">
        <v>38.5</v>
      </c>
      <c r="M876" s="281">
        <v>38.5</v>
      </c>
    </row>
    <row r="877" spans="1:13" ht="14.25">
      <c r="A877" s="274">
        <v>11410</v>
      </c>
      <c r="B877" s="275" t="s">
        <v>108</v>
      </c>
      <c r="C877" s="275" t="s">
        <v>242</v>
      </c>
      <c r="D877" s="275" t="s">
        <v>20</v>
      </c>
      <c r="E877" s="276">
        <v>1</v>
      </c>
      <c r="F877" s="276" t="s">
        <v>109</v>
      </c>
      <c r="G877" s="276">
        <v>0</v>
      </c>
      <c r="H877" s="276">
        <v>17</v>
      </c>
      <c r="I877" s="276">
        <v>88</v>
      </c>
      <c r="J877" s="276">
        <v>1</v>
      </c>
      <c r="K877" s="276">
        <v>106</v>
      </c>
      <c r="L877" s="276">
        <v>88.5</v>
      </c>
      <c r="M877" s="277">
        <v>88.5</v>
      </c>
    </row>
    <row r="878" spans="1:13" ht="14.25">
      <c r="A878" s="278">
        <v>11410</v>
      </c>
      <c r="B878" s="279" t="s">
        <v>108</v>
      </c>
      <c r="C878" s="279" t="s">
        <v>1204</v>
      </c>
      <c r="D878" s="279" t="s">
        <v>1205</v>
      </c>
      <c r="E878" s="280">
        <v>1.2</v>
      </c>
      <c r="F878" s="280" t="s">
        <v>110</v>
      </c>
      <c r="G878" s="280">
        <v>102</v>
      </c>
      <c r="H878" s="280">
        <v>3</v>
      </c>
      <c r="I878" s="280">
        <v>52</v>
      </c>
      <c r="J878" s="280">
        <v>0</v>
      </c>
      <c r="K878" s="280">
        <v>157</v>
      </c>
      <c r="L878" s="280">
        <v>154</v>
      </c>
      <c r="M878" s="281">
        <v>184.8</v>
      </c>
    </row>
    <row r="879" spans="1:13" ht="14.25">
      <c r="A879" s="274">
        <v>11410</v>
      </c>
      <c r="B879" s="275" t="s">
        <v>108</v>
      </c>
      <c r="C879" s="275" t="s">
        <v>111</v>
      </c>
      <c r="D879" s="275" t="s">
        <v>112</v>
      </c>
      <c r="E879" s="276">
        <v>1.2</v>
      </c>
      <c r="F879" s="276" t="s">
        <v>110</v>
      </c>
      <c r="G879" s="276">
        <v>0</v>
      </c>
      <c r="H879" s="276">
        <v>3</v>
      </c>
      <c r="I879" s="276">
        <v>6</v>
      </c>
      <c r="J879" s="276">
        <v>0</v>
      </c>
      <c r="K879" s="276">
        <v>9</v>
      </c>
      <c r="L879" s="276">
        <v>6</v>
      </c>
      <c r="M879" s="277">
        <v>7.2</v>
      </c>
    </row>
    <row r="880" spans="1:13" ht="14.25">
      <c r="A880" s="278">
        <v>11410</v>
      </c>
      <c r="B880" s="279" t="s">
        <v>108</v>
      </c>
      <c r="C880" s="279" t="s">
        <v>111</v>
      </c>
      <c r="D880" s="279" t="s">
        <v>112</v>
      </c>
      <c r="E880" s="280">
        <v>1.2</v>
      </c>
      <c r="F880" s="280" t="s">
        <v>113</v>
      </c>
      <c r="G880" s="280">
        <v>0</v>
      </c>
      <c r="H880" s="280">
        <v>77</v>
      </c>
      <c r="I880" s="280">
        <v>474</v>
      </c>
      <c r="J880" s="280">
        <v>5</v>
      </c>
      <c r="K880" s="280">
        <v>556</v>
      </c>
      <c r="L880" s="280">
        <v>476.5</v>
      </c>
      <c r="M880" s="281">
        <v>571.8</v>
      </c>
    </row>
    <row r="881" spans="1:13" ht="14.25">
      <c r="A881" s="274">
        <v>11410</v>
      </c>
      <c r="B881" s="275" t="s">
        <v>108</v>
      </c>
      <c r="C881" s="275" t="s">
        <v>1206</v>
      </c>
      <c r="D881" s="275" t="s">
        <v>1207</v>
      </c>
      <c r="E881" s="276">
        <v>1.2</v>
      </c>
      <c r="F881" s="276" t="s">
        <v>116</v>
      </c>
      <c r="G881" s="276">
        <v>0</v>
      </c>
      <c r="H881" s="276">
        <v>2</v>
      </c>
      <c r="I881" s="276">
        <v>66</v>
      </c>
      <c r="J881" s="276">
        <v>1</v>
      </c>
      <c r="K881" s="276">
        <v>69</v>
      </c>
      <c r="L881" s="276">
        <v>66.5</v>
      </c>
      <c r="M881" s="277">
        <v>79.8</v>
      </c>
    </row>
    <row r="882" spans="1:13" ht="14.25">
      <c r="A882" s="278">
        <v>11410</v>
      </c>
      <c r="B882" s="279" t="s">
        <v>108</v>
      </c>
      <c r="C882" s="279" t="s">
        <v>1208</v>
      </c>
      <c r="D882" s="279" t="s">
        <v>1209</v>
      </c>
      <c r="E882" s="280">
        <v>1.2</v>
      </c>
      <c r="F882" s="280" t="s">
        <v>116</v>
      </c>
      <c r="G882" s="280">
        <v>0</v>
      </c>
      <c r="H882" s="280">
        <v>0</v>
      </c>
      <c r="I882" s="280">
        <v>6</v>
      </c>
      <c r="J882" s="280">
        <v>0</v>
      </c>
      <c r="K882" s="280">
        <v>6</v>
      </c>
      <c r="L882" s="280">
        <v>6</v>
      </c>
      <c r="M882" s="281">
        <v>7.2</v>
      </c>
    </row>
    <row r="883" spans="1:13" ht="14.25">
      <c r="A883" s="274">
        <v>11410</v>
      </c>
      <c r="B883" s="275" t="s">
        <v>108</v>
      </c>
      <c r="C883" s="275" t="s">
        <v>115</v>
      </c>
      <c r="D883" s="275" t="s">
        <v>93</v>
      </c>
      <c r="E883" s="276">
        <v>1</v>
      </c>
      <c r="F883" s="276" t="s">
        <v>116</v>
      </c>
      <c r="G883" s="276">
        <v>0</v>
      </c>
      <c r="H883" s="276">
        <v>0</v>
      </c>
      <c r="I883" s="276">
        <v>27</v>
      </c>
      <c r="J883" s="276">
        <v>0</v>
      </c>
      <c r="K883" s="276">
        <v>27</v>
      </c>
      <c r="L883" s="276">
        <v>27</v>
      </c>
      <c r="M883" s="277">
        <v>27</v>
      </c>
    </row>
    <row r="884" spans="1:13" ht="14.25">
      <c r="A884" s="278">
        <v>11410</v>
      </c>
      <c r="B884" s="279" t="s">
        <v>108</v>
      </c>
      <c r="C884" s="279" t="s">
        <v>115</v>
      </c>
      <c r="D884" s="279" t="s">
        <v>93</v>
      </c>
      <c r="E884" s="280">
        <v>1</v>
      </c>
      <c r="F884" s="280" t="s">
        <v>114</v>
      </c>
      <c r="G884" s="280">
        <v>0</v>
      </c>
      <c r="H884" s="280">
        <v>5</v>
      </c>
      <c r="I884" s="280">
        <v>42</v>
      </c>
      <c r="J884" s="280">
        <v>0</v>
      </c>
      <c r="K884" s="280">
        <v>47</v>
      </c>
      <c r="L884" s="280">
        <v>42</v>
      </c>
      <c r="M884" s="281">
        <v>42</v>
      </c>
    </row>
    <row r="885" spans="1:13" ht="14.25">
      <c r="A885" s="274">
        <v>11410</v>
      </c>
      <c r="B885" s="275" t="s">
        <v>108</v>
      </c>
      <c r="C885" s="275" t="s">
        <v>90</v>
      </c>
      <c r="D885" s="275" t="s">
        <v>91</v>
      </c>
      <c r="E885" s="276">
        <v>1.2</v>
      </c>
      <c r="F885" s="276" t="s">
        <v>116</v>
      </c>
      <c r="G885" s="276">
        <v>0</v>
      </c>
      <c r="H885" s="276">
        <v>12</v>
      </c>
      <c r="I885" s="276">
        <v>312</v>
      </c>
      <c r="J885" s="276">
        <v>2</v>
      </c>
      <c r="K885" s="276">
        <v>326</v>
      </c>
      <c r="L885" s="276">
        <v>313</v>
      </c>
      <c r="M885" s="277">
        <v>375.6</v>
      </c>
    </row>
    <row r="886" spans="1:13" ht="14.25">
      <c r="A886" s="278">
        <v>11410</v>
      </c>
      <c r="B886" s="279" t="s">
        <v>108</v>
      </c>
      <c r="C886" s="279" t="s">
        <v>90</v>
      </c>
      <c r="D886" s="279" t="s">
        <v>91</v>
      </c>
      <c r="E886" s="280">
        <v>1.2</v>
      </c>
      <c r="F886" s="280" t="s">
        <v>114</v>
      </c>
      <c r="G886" s="280">
        <v>0</v>
      </c>
      <c r="H886" s="280">
        <v>137</v>
      </c>
      <c r="I886" s="280">
        <v>408</v>
      </c>
      <c r="J886" s="280">
        <v>10</v>
      </c>
      <c r="K886" s="280">
        <v>555</v>
      </c>
      <c r="L886" s="280">
        <v>413</v>
      </c>
      <c r="M886" s="281">
        <v>495.6</v>
      </c>
    </row>
    <row r="887" spans="1:13" ht="14.25">
      <c r="A887" s="274">
        <v>11410</v>
      </c>
      <c r="B887" s="275" t="s">
        <v>108</v>
      </c>
      <c r="C887" s="275" t="s">
        <v>365</v>
      </c>
      <c r="D887" s="275" t="s">
        <v>364</v>
      </c>
      <c r="E887" s="276">
        <v>1.2</v>
      </c>
      <c r="F887" s="276" t="s">
        <v>116</v>
      </c>
      <c r="G887" s="276">
        <v>0</v>
      </c>
      <c r="H887" s="276">
        <v>0</v>
      </c>
      <c r="I887" s="276">
        <v>72</v>
      </c>
      <c r="J887" s="276">
        <v>0</v>
      </c>
      <c r="K887" s="276">
        <v>72</v>
      </c>
      <c r="L887" s="276">
        <v>72</v>
      </c>
      <c r="M887" s="277">
        <v>86.4</v>
      </c>
    </row>
    <row r="888" spans="1:13" ht="14.25">
      <c r="A888" s="278">
        <v>11410</v>
      </c>
      <c r="B888" s="279" t="s">
        <v>108</v>
      </c>
      <c r="C888" s="279" t="s">
        <v>365</v>
      </c>
      <c r="D888" s="279" t="s">
        <v>364</v>
      </c>
      <c r="E888" s="280">
        <v>1.2</v>
      </c>
      <c r="F888" s="280" t="s">
        <v>114</v>
      </c>
      <c r="G888" s="280">
        <v>0</v>
      </c>
      <c r="H888" s="280">
        <v>10</v>
      </c>
      <c r="I888" s="280">
        <v>79</v>
      </c>
      <c r="J888" s="280">
        <v>2</v>
      </c>
      <c r="K888" s="280">
        <v>91</v>
      </c>
      <c r="L888" s="280">
        <v>80</v>
      </c>
      <c r="M888" s="281">
        <v>96</v>
      </c>
    </row>
    <row r="889" spans="1:13" ht="14.25">
      <c r="A889" s="274">
        <v>11410</v>
      </c>
      <c r="B889" s="275" t="s">
        <v>108</v>
      </c>
      <c r="C889" s="275" t="s">
        <v>366</v>
      </c>
      <c r="D889" s="275" t="s">
        <v>89</v>
      </c>
      <c r="E889" s="276">
        <v>1.2</v>
      </c>
      <c r="F889" s="276" t="s">
        <v>116</v>
      </c>
      <c r="G889" s="276">
        <v>0</v>
      </c>
      <c r="H889" s="276">
        <v>0</v>
      </c>
      <c r="I889" s="276">
        <v>3</v>
      </c>
      <c r="J889" s="276">
        <v>0</v>
      </c>
      <c r="K889" s="276">
        <v>3</v>
      </c>
      <c r="L889" s="276">
        <v>3</v>
      </c>
      <c r="M889" s="277">
        <v>3.6</v>
      </c>
    </row>
    <row r="890" spans="1:13" ht="14.25">
      <c r="A890" s="278">
        <v>11410</v>
      </c>
      <c r="B890" s="279" t="s">
        <v>108</v>
      </c>
      <c r="C890" s="279" t="s">
        <v>366</v>
      </c>
      <c r="D890" s="279" t="s">
        <v>89</v>
      </c>
      <c r="E890" s="280">
        <v>1.2</v>
      </c>
      <c r="F890" s="280" t="s">
        <v>114</v>
      </c>
      <c r="G890" s="280">
        <v>0</v>
      </c>
      <c r="H890" s="280">
        <v>5</v>
      </c>
      <c r="I890" s="280">
        <v>48</v>
      </c>
      <c r="J890" s="280">
        <v>2</v>
      </c>
      <c r="K890" s="280">
        <v>55</v>
      </c>
      <c r="L890" s="280">
        <v>49</v>
      </c>
      <c r="M890" s="281">
        <v>58.8</v>
      </c>
    </row>
    <row r="891" spans="1:13" ht="14.25">
      <c r="A891" s="274">
        <v>11410</v>
      </c>
      <c r="B891" s="275" t="s">
        <v>108</v>
      </c>
      <c r="C891" s="275" t="s">
        <v>252</v>
      </c>
      <c r="D891" s="275" t="s">
        <v>20</v>
      </c>
      <c r="E891" s="276">
        <v>1</v>
      </c>
      <c r="F891" s="276" t="s">
        <v>116</v>
      </c>
      <c r="G891" s="276">
        <v>0</v>
      </c>
      <c r="H891" s="276">
        <v>1</v>
      </c>
      <c r="I891" s="276">
        <v>29</v>
      </c>
      <c r="J891" s="276">
        <v>0</v>
      </c>
      <c r="K891" s="276">
        <v>30</v>
      </c>
      <c r="L891" s="276">
        <v>29</v>
      </c>
      <c r="M891" s="277">
        <v>29</v>
      </c>
    </row>
    <row r="892" spans="1:13" ht="14.25">
      <c r="A892" s="278">
        <v>11410</v>
      </c>
      <c r="B892" s="279" t="s">
        <v>108</v>
      </c>
      <c r="C892" s="279" t="s">
        <v>252</v>
      </c>
      <c r="D892" s="279" t="s">
        <v>20</v>
      </c>
      <c r="E892" s="280">
        <v>1</v>
      </c>
      <c r="F892" s="280" t="s">
        <v>114</v>
      </c>
      <c r="G892" s="280">
        <v>0</v>
      </c>
      <c r="H892" s="280">
        <v>8</v>
      </c>
      <c r="I892" s="280">
        <v>42</v>
      </c>
      <c r="J892" s="280">
        <v>2</v>
      </c>
      <c r="K892" s="280">
        <v>52</v>
      </c>
      <c r="L892" s="280">
        <v>43</v>
      </c>
      <c r="M892" s="281">
        <v>43</v>
      </c>
    </row>
    <row r="893" spans="1:13" ht="14.25">
      <c r="A893" s="274">
        <v>11410</v>
      </c>
      <c r="B893" s="275" t="s">
        <v>108</v>
      </c>
      <c r="C893" s="275" t="s">
        <v>1210</v>
      </c>
      <c r="D893" s="275" t="s">
        <v>1211</v>
      </c>
      <c r="E893" s="276">
        <v>1.2</v>
      </c>
      <c r="F893" s="276" t="s">
        <v>119</v>
      </c>
      <c r="G893" s="276">
        <v>0</v>
      </c>
      <c r="H893" s="276">
        <v>0</v>
      </c>
      <c r="I893" s="276">
        <v>3</v>
      </c>
      <c r="J893" s="276">
        <v>0</v>
      </c>
      <c r="K893" s="276">
        <v>3</v>
      </c>
      <c r="L893" s="276">
        <v>3</v>
      </c>
      <c r="M893" s="277">
        <v>3.6</v>
      </c>
    </row>
    <row r="894" spans="1:13" ht="14.25">
      <c r="A894" s="278">
        <v>11410</v>
      </c>
      <c r="B894" s="279" t="s">
        <v>108</v>
      </c>
      <c r="C894" s="279" t="s">
        <v>937</v>
      </c>
      <c r="D894" s="279" t="s">
        <v>93</v>
      </c>
      <c r="E894" s="280">
        <v>1.2</v>
      </c>
      <c r="F894" s="280" t="s">
        <v>119</v>
      </c>
      <c r="G894" s="280">
        <v>0</v>
      </c>
      <c r="H894" s="280">
        <v>1</v>
      </c>
      <c r="I894" s="280">
        <v>10</v>
      </c>
      <c r="J894" s="280">
        <v>0</v>
      </c>
      <c r="K894" s="280">
        <v>11</v>
      </c>
      <c r="L894" s="280">
        <v>10</v>
      </c>
      <c r="M894" s="281">
        <v>12</v>
      </c>
    </row>
    <row r="895" spans="1:13" ht="14.25">
      <c r="A895" s="274">
        <v>11410</v>
      </c>
      <c r="B895" s="275" t="s">
        <v>108</v>
      </c>
      <c r="C895" s="275" t="s">
        <v>1131</v>
      </c>
      <c r="D895" s="275" t="s">
        <v>336</v>
      </c>
      <c r="E895" s="276">
        <v>2.8</v>
      </c>
      <c r="F895" s="276" t="s">
        <v>119</v>
      </c>
      <c r="G895" s="276">
        <v>0</v>
      </c>
      <c r="H895" s="276">
        <v>0</v>
      </c>
      <c r="I895" s="276">
        <v>5</v>
      </c>
      <c r="J895" s="276">
        <v>0</v>
      </c>
      <c r="K895" s="276">
        <v>5</v>
      </c>
      <c r="L895" s="276">
        <v>5</v>
      </c>
      <c r="M895" s="277">
        <v>14</v>
      </c>
    </row>
    <row r="896" spans="1:13" ht="14.25">
      <c r="A896" s="278">
        <v>11410</v>
      </c>
      <c r="B896" s="279" t="s">
        <v>108</v>
      </c>
      <c r="C896" s="279" t="s">
        <v>1212</v>
      </c>
      <c r="D896" s="279" t="s">
        <v>1213</v>
      </c>
      <c r="E896" s="280">
        <v>2.8</v>
      </c>
      <c r="F896" s="280" t="s">
        <v>119</v>
      </c>
      <c r="G896" s="280">
        <v>0</v>
      </c>
      <c r="H896" s="280">
        <v>0</v>
      </c>
      <c r="I896" s="280">
        <v>1</v>
      </c>
      <c r="J896" s="280">
        <v>0</v>
      </c>
      <c r="K896" s="280">
        <v>1</v>
      </c>
      <c r="L896" s="280">
        <v>1</v>
      </c>
      <c r="M896" s="281">
        <v>2.8</v>
      </c>
    </row>
    <row r="897" spans="1:13" ht="14.25">
      <c r="A897" s="274">
        <v>11410</v>
      </c>
      <c r="B897" s="275" t="s">
        <v>108</v>
      </c>
      <c r="C897" s="275" t="s">
        <v>1214</v>
      </c>
      <c r="D897" s="275" t="s">
        <v>1215</v>
      </c>
      <c r="E897" s="276">
        <v>2.25</v>
      </c>
      <c r="F897" s="276" t="s">
        <v>119</v>
      </c>
      <c r="G897" s="276">
        <v>0</v>
      </c>
      <c r="H897" s="276">
        <v>0</v>
      </c>
      <c r="I897" s="276">
        <v>3</v>
      </c>
      <c r="J897" s="276">
        <v>0</v>
      </c>
      <c r="K897" s="276">
        <v>3</v>
      </c>
      <c r="L897" s="276">
        <v>3</v>
      </c>
      <c r="M897" s="277">
        <v>6.75</v>
      </c>
    </row>
    <row r="898" spans="1:13" ht="14.25">
      <c r="A898" s="278">
        <v>11410</v>
      </c>
      <c r="B898" s="279" t="s">
        <v>108</v>
      </c>
      <c r="C898" s="279" t="s">
        <v>66</v>
      </c>
      <c r="D898" s="279" t="s">
        <v>62</v>
      </c>
      <c r="E898" s="280">
        <v>1</v>
      </c>
      <c r="F898" s="280" t="s">
        <v>119</v>
      </c>
      <c r="G898" s="280">
        <v>0</v>
      </c>
      <c r="H898" s="280">
        <v>3</v>
      </c>
      <c r="I898" s="280">
        <v>6</v>
      </c>
      <c r="J898" s="280">
        <v>0</v>
      </c>
      <c r="K898" s="280">
        <v>9</v>
      </c>
      <c r="L898" s="280">
        <v>6</v>
      </c>
      <c r="M898" s="281">
        <v>6</v>
      </c>
    </row>
    <row r="899" spans="1:13" ht="14.25">
      <c r="A899" s="274">
        <v>11410</v>
      </c>
      <c r="B899" s="275" t="s">
        <v>108</v>
      </c>
      <c r="C899" s="275" t="s">
        <v>66</v>
      </c>
      <c r="D899" s="275" t="s">
        <v>62</v>
      </c>
      <c r="E899" s="276">
        <v>1</v>
      </c>
      <c r="F899" s="276" t="s">
        <v>122</v>
      </c>
      <c r="G899" s="276">
        <v>0</v>
      </c>
      <c r="H899" s="276">
        <v>2</v>
      </c>
      <c r="I899" s="276">
        <v>27</v>
      </c>
      <c r="J899" s="276">
        <v>0</v>
      </c>
      <c r="K899" s="276">
        <v>29</v>
      </c>
      <c r="L899" s="276">
        <v>27</v>
      </c>
      <c r="M899" s="277">
        <v>27</v>
      </c>
    </row>
    <row r="900" spans="1:13" ht="14.25">
      <c r="A900" s="278">
        <v>11410</v>
      </c>
      <c r="B900" s="279" t="s">
        <v>108</v>
      </c>
      <c r="C900" s="279" t="s">
        <v>255</v>
      </c>
      <c r="D900" s="279" t="s">
        <v>39</v>
      </c>
      <c r="E900" s="280">
        <v>1</v>
      </c>
      <c r="F900" s="280" t="s">
        <v>119</v>
      </c>
      <c r="G900" s="280">
        <v>0</v>
      </c>
      <c r="H900" s="280">
        <v>2</v>
      </c>
      <c r="I900" s="280">
        <v>3</v>
      </c>
      <c r="J900" s="280">
        <v>0</v>
      </c>
      <c r="K900" s="280">
        <v>5</v>
      </c>
      <c r="L900" s="280">
        <v>3</v>
      </c>
      <c r="M900" s="281">
        <v>3</v>
      </c>
    </row>
    <row r="901" spans="1:13" ht="14.25">
      <c r="A901" s="274">
        <v>11410</v>
      </c>
      <c r="B901" s="275" t="s">
        <v>108</v>
      </c>
      <c r="C901" s="275" t="s">
        <v>255</v>
      </c>
      <c r="D901" s="275" t="s">
        <v>39</v>
      </c>
      <c r="E901" s="276">
        <v>1</v>
      </c>
      <c r="F901" s="276" t="s">
        <v>122</v>
      </c>
      <c r="G901" s="276">
        <v>0</v>
      </c>
      <c r="H901" s="276">
        <v>8</v>
      </c>
      <c r="I901" s="276">
        <v>11</v>
      </c>
      <c r="J901" s="276">
        <v>0</v>
      </c>
      <c r="K901" s="276">
        <v>19</v>
      </c>
      <c r="L901" s="276">
        <v>11</v>
      </c>
      <c r="M901" s="277">
        <v>11</v>
      </c>
    </row>
    <row r="902" spans="1:13" ht="14.25">
      <c r="A902" s="278">
        <v>11410</v>
      </c>
      <c r="B902" s="279" t="s">
        <v>108</v>
      </c>
      <c r="C902" s="279" t="s">
        <v>92</v>
      </c>
      <c r="D902" s="279" t="s">
        <v>93</v>
      </c>
      <c r="E902" s="280">
        <v>1</v>
      </c>
      <c r="F902" s="280" t="s">
        <v>119</v>
      </c>
      <c r="G902" s="280">
        <v>0</v>
      </c>
      <c r="H902" s="280">
        <v>0</v>
      </c>
      <c r="I902" s="280">
        <v>13</v>
      </c>
      <c r="J902" s="280">
        <v>0</v>
      </c>
      <c r="K902" s="280">
        <v>13</v>
      </c>
      <c r="L902" s="280">
        <v>13</v>
      </c>
      <c r="M902" s="281">
        <v>13</v>
      </c>
    </row>
    <row r="903" spans="1:13" ht="14.25">
      <c r="A903" s="274">
        <v>11410</v>
      </c>
      <c r="B903" s="275" t="s">
        <v>108</v>
      </c>
      <c r="C903" s="275" t="s">
        <v>92</v>
      </c>
      <c r="D903" s="275" t="s">
        <v>93</v>
      </c>
      <c r="E903" s="276">
        <v>1</v>
      </c>
      <c r="F903" s="276" t="s">
        <v>122</v>
      </c>
      <c r="G903" s="276">
        <v>0</v>
      </c>
      <c r="H903" s="276">
        <v>18</v>
      </c>
      <c r="I903" s="276">
        <v>86</v>
      </c>
      <c r="J903" s="276">
        <v>0</v>
      </c>
      <c r="K903" s="276">
        <v>104</v>
      </c>
      <c r="L903" s="276">
        <v>86</v>
      </c>
      <c r="M903" s="277">
        <v>86</v>
      </c>
    </row>
    <row r="904" spans="1:13" ht="14.25">
      <c r="A904" s="278">
        <v>11410</v>
      </c>
      <c r="B904" s="279" t="s">
        <v>108</v>
      </c>
      <c r="C904" s="279" t="s">
        <v>367</v>
      </c>
      <c r="D904" s="279" t="s">
        <v>89</v>
      </c>
      <c r="E904" s="280">
        <v>1.2</v>
      </c>
      <c r="F904" s="280" t="s">
        <v>119</v>
      </c>
      <c r="G904" s="280">
        <v>0</v>
      </c>
      <c r="H904" s="280">
        <v>0</v>
      </c>
      <c r="I904" s="280">
        <v>3</v>
      </c>
      <c r="J904" s="280">
        <v>0</v>
      </c>
      <c r="K904" s="280">
        <v>3</v>
      </c>
      <c r="L904" s="280">
        <v>3</v>
      </c>
      <c r="M904" s="281">
        <v>3.6</v>
      </c>
    </row>
    <row r="905" spans="1:13" ht="14.25">
      <c r="A905" s="274">
        <v>11410</v>
      </c>
      <c r="B905" s="275" t="s">
        <v>108</v>
      </c>
      <c r="C905" s="275" t="s">
        <v>367</v>
      </c>
      <c r="D905" s="275" t="s">
        <v>89</v>
      </c>
      <c r="E905" s="276">
        <v>1.2</v>
      </c>
      <c r="F905" s="276" t="s">
        <v>122</v>
      </c>
      <c r="G905" s="276">
        <v>0</v>
      </c>
      <c r="H905" s="276">
        <v>2</v>
      </c>
      <c r="I905" s="276">
        <v>20</v>
      </c>
      <c r="J905" s="276">
        <v>0</v>
      </c>
      <c r="K905" s="276">
        <v>22</v>
      </c>
      <c r="L905" s="276">
        <v>20</v>
      </c>
      <c r="M905" s="277">
        <v>24</v>
      </c>
    </row>
    <row r="906" spans="1:13" ht="14.25">
      <c r="A906" s="278">
        <v>11410</v>
      </c>
      <c r="B906" s="279" t="s">
        <v>108</v>
      </c>
      <c r="C906" s="279" t="s">
        <v>19</v>
      </c>
      <c r="D906" s="279" t="s">
        <v>20</v>
      </c>
      <c r="E906" s="280">
        <v>1</v>
      </c>
      <c r="F906" s="280" t="s">
        <v>119</v>
      </c>
      <c r="G906" s="280">
        <v>0</v>
      </c>
      <c r="H906" s="280">
        <v>0</v>
      </c>
      <c r="I906" s="280">
        <v>3</v>
      </c>
      <c r="J906" s="280">
        <v>0</v>
      </c>
      <c r="K906" s="280">
        <v>3</v>
      </c>
      <c r="L906" s="280">
        <v>3</v>
      </c>
      <c r="M906" s="281">
        <v>3</v>
      </c>
    </row>
    <row r="907" spans="1:13" ht="14.25">
      <c r="A907" s="274">
        <v>11410</v>
      </c>
      <c r="B907" s="275" t="s">
        <v>108</v>
      </c>
      <c r="C907" s="275" t="s">
        <v>19</v>
      </c>
      <c r="D907" s="275" t="s">
        <v>20</v>
      </c>
      <c r="E907" s="276">
        <v>1</v>
      </c>
      <c r="F907" s="276" t="s">
        <v>122</v>
      </c>
      <c r="G907" s="276">
        <v>0</v>
      </c>
      <c r="H907" s="276">
        <v>1</v>
      </c>
      <c r="I907" s="276">
        <v>20</v>
      </c>
      <c r="J907" s="276">
        <v>1</v>
      </c>
      <c r="K907" s="276">
        <v>22</v>
      </c>
      <c r="L907" s="276">
        <v>20.5</v>
      </c>
      <c r="M907" s="277">
        <v>20.5</v>
      </c>
    </row>
    <row r="908" spans="1:13" ht="9.75">
      <c r="A908" s="282">
        <v>11410</v>
      </c>
      <c r="B908" s="283" t="s">
        <v>163</v>
      </c>
      <c r="C908" s="283"/>
      <c r="D908" s="283"/>
      <c r="E908" s="283"/>
      <c r="F908" s="284" t="s">
        <v>132</v>
      </c>
      <c r="G908" s="284">
        <v>555</v>
      </c>
      <c r="H908" s="284">
        <v>54</v>
      </c>
      <c r="I908" s="284">
        <v>498</v>
      </c>
      <c r="J908" s="284">
        <v>13</v>
      </c>
      <c r="K908" s="284">
        <v>1120</v>
      </c>
      <c r="L908" s="284"/>
      <c r="M908" s="1052"/>
    </row>
    <row r="909" spans="1:13" ht="9.75">
      <c r="A909" s="282">
        <v>11410</v>
      </c>
      <c r="B909" s="283" t="s">
        <v>163</v>
      </c>
      <c r="C909" s="283"/>
      <c r="D909" s="283"/>
      <c r="E909" s="283"/>
      <c r="F909" s="284" t="s">
        <v>109</v>
      </c>
      <c r="G909" s="284">
        <v>0</v>
      </c>
      <c r="H909" s="284">
        <v>400</v>
      </c>
      <c r="I909" s="284">
        <v>1487</v>
      </c>
      <c r="J909" s="284">
        <v>53</v>
      </c>
      <c r="K909" s="284">
        <v>1940</v>
      </c>
      <c r="L909" s="284"/>
      <c r="M909" s="1052"/>
    </row>
    <row r="910" spans="1:13" ht="9.75">
      <c r="A910" s="282">
        <v>11410</v>
      </c>
      <c r="B910" s="283" t="s">
        <v>163</v>
      </c>
      <c r="C910" s="283"/>
      <c r="D910" s="283"/>
      <c r="E910" s="283"/>
      <c r="F910" s="284" t="s">
        <v>110</v>
      </c>
      <c r="G910" s="284">
        <v>102</v>
      </c>
      <c r="H910" s="284">
        <v>6</v>
      </c>
      <c r="I910" s="284">
        <v>58</v>
      </c>
      <c r="J910" s="284">
        <v>0</v>
      </c>
      <c r="K910" s="284">
        <v>166</v>
      </c>
      <c r="L910" s="284"/>
      <c r="M910" s="1052"/>
    </row>
    <row r="911" spans="1:13" ht="9.75">
      <c r="A911" s="282">
        <v>11410</v>
      </c>
      <c r="B911" s="283" t="s">
        <v>163</v>
      </c>
      <c r="C911" s="283"/>
      <c r="D911" s="283"/>
      <c r="E911" s="283"/>
      <c r="F911" s="284" t="s">
        <v>113</v>
      </c>
      <c r="G911" s="284">
        <v>0</v>
      </c>
      <c r="H911" s="284">
        <v>77</v>
      </c>
      <c r="I911" s="284">
        <v>474</v>
      </c>
      <c r="J911" s="284">
        <v>5</v>
      </c>
      <c r="K911" s="284">
        <v>556</v>
      </c>
      <c r="L911" s="284"/>
      <c r="M911" s="1052"/>
    </row>
    <row r="912" spans="1:13" ht="9.75">
      <c r="A912" s="282">
        <v>11410</v>
      </c>
      <c r="B912" s="283" t="s">
        <v>163</v>
      </c>
      <c r="C912" s="283"/>
      <c r="D912" s="283"/>
      <c r="E912" s="283"/>
      <c r="F912" s="284" t="s">
        <v>116</v>
      </c>
      <c r="G912" s="284">
        <v>0</v>
      </c>
      <c r="H912" s="284">
        <v>15</v>
      </c>
      <c r="I912" s="284">
        <v>515</v>
      </c>
      <c r="J912" s="284">
        <v>3</v>
      </c>
      <c r="K912" s="284">
        <v>533</v>
      </c>
      <c r="L912" s="284"/>
      <c r="M912" s="1052"/>
    </row>
    <row r="913" spans="1:13" ht="9.75">
      <c r="A913" s="282">
        <v>11410</v>
      </c>
      <c r="B913" s="283" t="s">
        <v>163</v>
      </c>
      <c r="C913" s="283"/>
      <c r="D913" s="283"/>
      <c r="E913" s="283"/>
      <c r="F913" s="284" t="s">
        <v>114</v>
      </c>
      <c r="G913" s="284">
        <v>0</v>
      </c>
      <c r="H913" s="284">
        <v>165</v>
      </c>
      <c r="I913" s="284">
        <v>619</v>
      </c>
      <c r="J913" s="284">
        <v>16</v>
      </c>
      <c r="K913" s="284">
        <v>800</v>
      </c>
      <c r="L913" s="284"/>
      <c r="M913" s="1052"/>
    </row>
    <row r="914" spans="1:13" ht="9.75">
      <c r="A914" s="282">
        <v>11410</v>
      </c>
      <c r="B914" s="283" t="s">
        <v>163</v>
      </c>
      <c r="C914" s="283"/>
      <c r="D914" s="283"/>
      <c r="E914" s="283"/>
      <c r="F914" s="284" t="s">
        <v>119</v>
      </c>
      <c r="G914" s="284">
        <v>0</v>
      </c>
      <c r="H914" s="284">
        <v>6</v>
      </c>
      <c r="I914" s="284">
        <v>50</v>
      </c>
      <c r="J914" s="284">
        <v>0</v>
      </c>
      <c r="K914" s="284">
        <v>56</v>
      </c>
      <c r="L914" s="284"/>
      <c r="M914" s="1052"/>
    </row>
    <row r="915" spans="1:13" ht="9.75">
      <c r="A915" s="282">
        <v>11410</v>
      </c>
      <c r="B915" s="283" t="s">
        <v>163</v>
      </c>
      <c r="C915" s="283"/>
      <c r="D915" s="283"/>
      <c r="E915" s="283"/>
      <c r="F915" s="284" t="s">
        <v>122</v>
      </c>
      <c r="G915" s="284">
        <v>0</v>
      </c>
      <c r="H915" s="284">
        <v>31</v>
      </c>
      <c r="I915" s="284">
        <v>164</v>
      </c>
      <c r="J915" s="284">
        <v>1</v>
      </c>
      <c r="K915" s="284">
        <v>196</v>
      </c>
      <c r="L915" s="284"/>
      <c r="M915" s="1052"/>
    </row>
    <row r="916" spans="1:13" ht="14.25">
      <c r="A916" s="278">
        <v>11510</v>
      </c>
      <c r="B916" s="279" t="s">
        <v>368</v>
      </c>
      <c r="C916" s="279" t="s">
        <v>1216</v>
      </c>
      <c r="D916" s="279" t="s">
        <v>1217</v>
      </c>
      <c r="E916" s="280">
        <v>1.65</v>
      </c>
      <c r="F916" s="280" t="s">
        <v>132</v>
      </c>
      <c r="G916" s="280">
        <v>94</v>
      </c>
      <c r="H916" s="280">
        <v>1</v>
      </c>
      <c r="I916" s="280">
        <v>48</v>
      </c>
      <c r="J916" s="280">
        <v>1</v>
      </c>
      <c r="K916" s="280">
        <v>144</v>
      </c>
      <c r="L916" s="280">
        <v>142.5</v>
      </c>
      <c r="M916" s="281">
        <v>235.13</v>
      </c>
    </row>
    <row r="917" spans="1:13" ht="14.25">
      <c r="A917" s="274">
        <v>11510</v>
      </c>
      <c r="B917" s="275" t="s">
        <v>368</v>
      </c>
      <c r="C917" s="275" t="s">
        <v>1218</v>
      </c>
      <c r="D917" s="275" t="s">
        <v>1219</v>
      </c>
      <c r="E917" s="276">
        <v>1.65</v>
      </c>
      <c r="F917" s="276" t="s">
        <v>132</v>
      </c>
      <c r="G917" s="276">
        <v>33</v>
      </c>
      <c r="H917" s="276">
        <v>0</v>
      </c>
      <c r="I917" s="276">
        <v>46</v>
      </c>
      <c r="J917" s="276">
        <v>0</v>
      </c>
      <c r="K917" s="276">
        <v>79</v>
      </c>
      <c r="L917" s="276">
        <v>79</v>
      </c>
      <c r="M917" s="277">
        <v>130.35</v>
      </c>
    </row>
    <row r="918" spans="1:13" ht="21">
      <c r="A918" s="278">
        <v>11510</v>
      </c>
      <c r="B918" s="279" t="s">
        <v>368</v>
      </c>
      <c r="C918" s="279" t="s">
        <v>1220</v>
      </c>
      <c r="D918" s="279" t="s">
        <v>1221</v>
      </c>
      <c r="E918" s="280">
        <v>1.65</v>
      </c>
      <c r="F918" s="280" t="s">
        <v>132</v>
      </c>
      <c r="G918" s="280">
        <v>13</v>
      </c>
      <c r="H918" s="280">
        <v>0</v>
      </c>
      <c r="I918" s="280">
        <v>11</v>
      </c>
      <c r="J918" s="280">
        <v>0</v>
      </c>
      <c r="K918" s="280">
        <v>24</v>
      </c>
      <c r="L918" s="280">
        <v>24</v>
      </c>
      <c r="M918" s="281">
        <v>39.6</v>
      </c>
    </row>
    <row r="919" spans="1:13" ht="14.25">
      <c r="A919" s="274">
        <v>11510</v>
      </c>
      <c r="B919" s="275" t="s">
        <v>368</v>
      </c>
      <c r="C919" s="275" t="s">
        <v>1222</v>
      </c>
      <c r="D919" s="275" t="s">
        <v>1223</v>
      </c>
      <c r="E919" s="276">
        <v>1.65</v>
      </c>
      <c r="F919" s="276" t="s">
        <v>132</v>
      </c>
      <c r="G919" s="276">
        <v>48</v>
      </c>
      <c r="H919" s="276">
        <v>0</v>
      </c>
      <c r="I919" s="276">
        <v>31</v>
      </c>
      <c r="J919" s="276">
        <v>0</v>
      </c>
      <c r="K919" s="276">
        <v>79</v>
      </c>
      <c r="L919" s="276">
        <v>79</v>
      </c>
      <c r="M919" s="277">
        <v>130.35</v>
      </c>
    </row>
    <row r="920" spans="1:13" ht="14.25">
      <c r="A920" s="278">
        <v>11510</v>
      </c>
      <c r="B920" s="279" t="s">
        <v>368</v>
      </c>
      <c r="C920" s="279" t="s">
        <v>1224</v>
      </c>
      <c r="D920" s="279" t="s">
        <v>1225</v>
      </c>
      <c r="E920" s="280">
        <v>1.65</v>
      </c>
      <c r="F920" s="280" t="s">
        <v>132</v>
      </c>
      <c r="G920" s="280">
        <v>50</v>
      </c>
      <c r="H920" s="280">
        <v>0</v>
      </c>
      <c r="I920" s="280">
        <v>32</v>
      </c>
      <c r="J920" s="280">
        <v>0</v>
      </c>
      <c r="K920" s="280">
        <v>82</v>
      </c>
      <c r="L920" s="280">
        <v>82</v>
      </c>
      <c r="M920" s="281">
        <v>135.3</v>
      </c>
    </row>
    <row r="921" spans="1:13" ht="21">
      <c r="A921" s="274">
        <v>11510</v>
      </c>
      <c r="B921" s="275" t="s">
        <v>368</v>
      </c>
      <c r="C921" s="275" t="s">
        <v>1226</v>
      </c>
      <c r="D921" s="275" t="s">
        <v>1227</v>
      </c>
      <c r="E921" s="276">
        <v>1.65</v>
      </c>
      <c r="F921" s="276" t="s">
        <v>132</v>
      </c>
      <c r="G921" s="276">
        <v>5</v>
      </c>
      <c r="H921" s="276">
        <v>1</v>
      </c>
      <c r="I921" s="276">
        <v>5</v>
      </c>
      <c r="J921" s="276">
        <v>0</v>
      </c>
      <c r="K921" s="276">
        <v>11</v>
      </c>
      <c r="L921" s="276">
        <v>10</v>
      </c>
      <c r="M921" s="277">
        <v>16.5</v>
      </c>
    </row>
    <row r="922" spans="1:13" ht="14.25">
      <c r="A922" s="278">
        <v>11510</v>
      </c>
      <c r="B922" s="279" t="s">
        <v>368</v>
      </c>
      <c r="C922" s="279" t="s">
        <v>95</v>
      </c>
      <c r="D922" s="279" t="s">
        <v>18</v>
      </c>
      <c r="E922" s="280">
        <v>2.25</v>
      </c>
      <c r="F922" s="280" t="s">
        <v>132</v>
      </c>
      <c r="G922" s="280">
        <v>32</v>
      </c>
      <c r="H922" s="280">
        <v>4</v>
      </c>
      <c r="I922" s="280">
        <v>29</v>
      </c>
      <c r="J922" s="280">
        <v>1</v>
      </c>
      <c r="K922" s="280">
        <v>66</v>
      </c>
      <c r="L922" s="280">
        <v>61.5</v>
      </c>
      <c r="M922" s="281">
        <v>138.38</v>
      </c>
    </row>
    <row r="923" spans="1:13" ht="14.25">
      <c r="A923" s="274">
        <v>11510</v>
      </c>
      <c r="B923" s="275" t="s">
        <v>368</v>
      </c>
      <c r="C923" s="275" t="s">
        <v>95</v>
      </c>
      <c r="D923" s="275" t="s">
        <v>18</v>
      </c>
      <c r="E923" s="276">
        <v>2.25</v>
      </c>
      <c r="F923" s="276" t="s">
        <v>109</v>
      </c>
      <c r="G923" s="276">
        <v>0</v>
      </c>
      <c r="H923" s="276">
        <v>9</v>
      </c>
      <c r="I923" s="276">
        <v>97</v>
      </c>
      <c r="J923" s="276">
        <v>1</v>
      </c>
      <c r="K923" s="276">
        <v>107</v>
      </c>
      <c r="L923" s="276">
        <v>97.5</v>
      </c>
      <c r="M923" s="277">
        <v>219.38</v>
      </c>
    </row>
    <row r="924" spans="1:13" ht="14.25">
      <c r="A924" s="278">
        <v>11510</v>
      </c>
      <c r="B924" s="279" t="s">
        <v>368</v>
      </c>
      <c r="C924" s="279" t="s">
        <v>96</v>
      </c>
      <c r="D924" s="279" t="s">
        <v>97</v>
      </c>
      <c r="E924" s="280">
        <v>1.65</v>
      </c>
      <c r="F924" s="280" t="s">
        <v>132</v>
      </c>
      <c r="G924" s="280">
        <v>0</v>
      </c>
      <c r="H924" s="280">
        <v>0</v>
      </c>
      <c r="I924" s="280">
        <v>1</v>
      </c>
      <c r="J924" s="280">
        <v>0</v>
      </c>
      <c r="K924" s="280">
        <v>1</v>
      </c>
      <c r="L924" s="280">
        <v>1</v>
      </c>
      <c r="M924" s="281">
        <v>1.65</v>
      </c>
    </row>
    <row r="925" spans="1:13" ht="14.25">
      <c r="A925" s="274">
        <v>11510</v>
      </c>
      <c r="B925" s="275" t="s">
        <v>368</v>
      </c>
      <c r="C925" s="275" t="s">
        <v>96</v>
      </c>
      <c r="D925" s="275" t="s">
        <v>97</v>
      </c>
      <c r="E925" s="276">
        <v>1.65</v>
      </c>
      <c r="F925" s="276" t="s">
        <v>109</v>
      </c>
      <c r="G925" s="276">
        <v>0</v>
      </c>
      <c r="H925" s="276">
        <v>58</v>
      </c>
      <c r="I925" s="276">
        <v>478</v>
      </c>
      <c r="J925" s="276">
        <v>15</v>
      </c>
      <c r="K925" s="276">
        <v>551</v>
      </c>
      <c r="L925" s="276">
        <v>485.5</v>
      </c>
      <c r="M925" s="277">
        <v>801.08</v>
      </c>
    </row>
    <row r="926" spans="1:13" ht="21">
      <c r="A926" s="278">
        <v>11510</v>
      </c>
      <c r="B926" s="279" t="s">
        <v>368</v>
      </c>
      <c r="C926" s="279" t="s">
        <v>1228</v>
      </c>
      <c r="D926" s="279" t="s">
        <v>1229</v>
      </c>
      <c r="E926" s="280">
        <v>1.65</v>
      </c>
      <c r="F926" s="280" t="s">
        <v>116</v>
      </c>
      <c r="G926" s="280">
        <v>0</v>
      </c>
      <c r="H926" s="280">
        <v>0</v>
      </c>
      <c r="I926" s="280">
        <v>7</v>
      </c>
      <c r="J926" s="280">
        <v>0</v>
      </c>
      <c r="K926" s="280">
        <v>7</v>
      </c>
      <c r="L926" s="280">
        <v>7</v>
      </c>
      <c r="M926" s="281">
        <v>11.55</v>
      </c>
    </row>
    <row r="927" spans="1:13" ht="14.25">
      <c r="A927" s="274">
        <v>11510</v>
      </c>
      <c r="B927" s="275" t="s">
        <v>368</v>
      </c>
      <c r="C927" s="275" t="s">
        <v>1230</v>
      </c>
      <c r="D927" s="275" t="s">
        <v>1231</v>
      </c>
      <c r="E927" s="276">
        <v>1.65</v>
      </c>
      <c r="F927" s="276" t="s">
        <v>116</v>
      </c>
      <c r="G927" s="276">
        <v>0</v>
      </c>
      <c r="H927" s="276">
        <v>2</v>
      </c>
      <c r="I927" s="276">
        <v>86</v>
      </c>
      <c r="J927" s="276">
        <v>0</v>
      </c>
      <c r="K927" s="276">
        <v>88</v>
      </c>
      <c r="L927" s="276">
        <v>86</v>
      </c>
      <c r="M927" s="277">
        <v>141.9</v>
      </c>
    </row>
    <row r="928" spans="1:13" ht="14.25">
      <c r="A928" s="278">
        <v>11510</v>
      </c>
      <c r="B928" s="279" t="s">
        <v>368</v>
      </c>
      <c r="C928" s="279" t="s">
        <v>1232</v>
      </c>
      <c r="D928" s="279" t="s">
        <v>1219</v>
      </c>
      <c r="E928" s="280">
        <v>1.65</v>
      </c>
      <c r="F928" s="280" t="s">
        <v>116</v>
      </c>
      <c r="G928" s="280">
        <v>0</v>
      </c>
      <c r="H928" s="280">
        <v>1</v>
      </c>
      <c r="I928" s="280">
        <v>47</v>
      </c>
      <c r="J928" s="280">
        <v>0</v>
      </c>
      <c r="K928" s="280">
        <v>48</v>
      </c>
      <c r="L928" s="280">
        <v>47</v>
      </c>
      <c r="M928" s="281">
        <v>77.55</v>
      </c>
    </row>
    <row r="929" spans="1:13" ht="21">
      <c r="A929" s="274">
        <v>11510</v>
      </c>
      <c r="B929" s="275" t="s">
        <v>368</v>
      </c>
      <c r="C929" s="275" t="s">
        <v>1233</v>
      </c>
      <c r="D929" s="275" t="s">
        <v>1221</v>
      </c>
      <c r="E929" s="276">
        <v>1.65</v>
      </c>
      <c r="F929" s="276" t="s">
        <v>116</v>
      </c>
      <c r="G929" s="276">
        <v>0</v>
      </c>
      <c r="H929" s="276">
        <v>0</v>
      </c>
      <c r="I929" s="276">
        <v>42</v>
      </c>
      <c r="J929" s="276">
        <v>0</v>
      </c>
      <c r="K929" s="276">
        <v>42</v>
      </c>
      <c r="L929" s="276">
        <v>42</v>
      </c>
      <c r="M929" s="277">
        <v>69.3</v>
      </c>
    </row>
    <row r="930" spans="1:13" ht="14.25">
      <c r="A930" s="278">
        <v>11510</v>
      </c>
      <c r="B930" s="279" t="s">
        <v>368</v>
      </c>
      <c r="C930" s="279" t="s">
        <v>98</v>
      </c>
      <c r="D930" s="279" t="s">
        <v>18</v>
      </c>
      <c r="E930" s="280">
        <v>2.25</v>
      </c>
      <c r="F930" s="280" t="s">
        <v>116</v>
      </c>
      <c r="G930" s="280">
        <v>0</v>
      </c>
      <c r="H930" s="280">
        <v>0</v>
      </c>
      <c r="I930" s="280">
        <v>54</v>
      </c>
      <c r="J930" s="280">
        <v>0</v>
      </c>
      <c r="K930" s="280">
        <v>54</v>
      </c>
      <c r="L930" s="280">
        <v>54</v>
      </c>
      <c r="M930" s="281">
        <v>121.5</v>
      </c>
    </row>
    <row r="931" spans="1:13" ht="14.25">
      <c r="A931" s="274">
        <v>11510</v>
      </c>
      <c r="B931" s="275" t="s">
        <v>368</v>
      </c>
      <c r="C931" s="275" t="s">
        <v>98</v>
      </c>
      <c r="D931" s="275" t="s">
        <v>18</v>
      </c>
      <c r="E931" s="276">
        <v>2.25</v>
      </c>
      <c r="F931" s="276" t="s">
        <v>114</v>
      </c>
      <c r="G931" s="276">
        <v>0</v>
      </c>
      <c r="H931" s="276">
        <v>2</v>
      </c>
      <c r="I931" s="276">
        <v>79</v>
      </c>
      <c r="J931" s="276">
        <v>2</v>
      </c>
      <c r="K931" s="276">
        <v>83</v>
      </c>
      <c r="L931" s="276">
        <v>80</v>
      </c>
      <c r="M931" s="277">
        <v>180</v>
      </c>
    </row>
    <row r="932" spans="1:13" ht="14.25">
      <c r="A932" s="278">
        <v>11510</v>
      </c>
      <c r="B932" s="279" t="s">
        <v>368</v>
      </c>
      <c r="C932" s="279" t="s">
        <v>369</v>
      </c>
      <c r="D932" s="279" t="s">
        <v>97</v>
      </c>
      <c r="E932" s="280">
        <v>1.65</v>
      </c>
      <c r="F932" s="280" t="s">
        <v>116</v>
      </c>
      <c r="G932" s="280">
        <v>0</v>
      </c>
      <c r="H932" s="280">
        <v>0</v>
      </c>
      <c r="I932" s="280">
        <v>6</v>
      </c>
      <c r="J932" s="280">
        <v>1</v>
      </c>
      <c r="K932" s="280">
        <v>7</v>
      </c>
      <c r="L932" s="280">
        <v>6.5</v>
      </c>
      <c r="M932" s="281">
        <v>10.73</v>
      </c>
    </row>
    <row r="933" spans="1:13" ht="14.25">
      <c r="A933" s="274">
        <v>11510</v>
      </c>
      <c r="B933" s="275" t="s">
        <v>368</v>
      </c>
      <c r="C933" s="275" t="s">
        <v>369</v>
      </c>
      <c r="D933" s="275" t="s">
        <v>97</v>
      </c>
      <c r="E933" s="276">
        <v>1.65</v>
      </c>
      <c r="F933" s="276" t="s">
        <v>114</v>
      </c>
      <c r="G933" s="276">
        <v>0</v>
      </c>
      <c r="H933" s="276">
        <v>20</v>
      </c>
      <c r="I933" s="276">
        <v>288</v>
      </c>
      <c r="J933" s="276">
        <v>1</v>
      </c>
      <c r="K933" s="276">
        <v>309</v>
      </c>
      <c r="L933" s="276">
        <v>288.5</v>
      </c>
      <c r="M933" s="277">
        <v>476.03</v>
      </c>
    </row>
    <row r="934" spans="1:13" ht="14.25">
      <c r="A934" s="278">
        <v>11510</v>
      </c>
      <c r="B934" s="279" t="s">
        <v>368</v>
      </c>
      <c r="C934" s="279" t="s">
        <v>168</v>
      </c>
      <c r="D934" s="279" t="s">
        <v>169</v>
      </c>
      <c r="E934" s="280">
        <v>2.25</v>
      </c>
      <c r="F934" s="280" t="s">
        <v>119</v>
      </c>
      <c r="G934" s="280">
        <v>0</v>
      </c>
      <c r="H934" s="280">
        <v>0</v>
      </c>
      <c r="I934" s="280">
        <v>5</v>
      </c>
      <c r="J934" s="280">
        <v>0</v>
      </c>
      <c r="K934" s="280">
        <v>5</v>
      </c>
      <c r="L934" s="280">
        <v>5</v>
      </c>
      <c r="M934" s="281">
        <v>11.25</v>
      </c>
    </row>
    <row r="935" spans="1:13" ht="14.25">
      <c r="A935" s="274">
        <v>11510</v>
      </c>
      <c r="B935" s="275" t="s">
        <v>368</v>
      </c>
      <c r="C935" s="275" t="s">
        <v>168</v>
      </c>
      <c r="D935" s="275" t="s">
        <v>169</v>
      </c>
      <c r="E935" s="276">
        <v>2.25</v>
      </c>
      <c r="F935" s="276" t="s">
        <v>122</v>
      </c>
      <c r="G935" s="276">
        <v>0</v>
      </c>
      <c r="H935" s="276">
        <v>12</v>
      </c>
      <c r="I935" s="276">
        <v>8</v>
      </c>
      <c r="J935" s="276">
        <v>0</v>
      </c>
      <c r="K935" s="276">
        <v>20</v>
      </c>
      <c r="L935" s="276">
        <v>8</v>
      </c>
      <c r="M935" s="277">
        <v>18</v>
      </c>
    </row>
    <row r="936" spans="1:13" ht="14.25">
      <c r="A936" s="278">
        <v>11510</v>
      </c>
      <c r="B936" s="279" t="s">
        <v>368</v>
      </c>
      <c r="C936" s="279" t="s">
        <v>99</v>
      </c>
      <c r="D936" s="279" t="s">
        <v>100</v>
      </c>
      <c r="E936" s="280">
        <v>1.65</v>
      </c>
      <c r="F936" s="280" t="s">
        <v>119</v>
      </c>
      <c r="G936" s="280">
        <v>0</v>
      </c>
      <c r="H936" s="280">
        <v>0</v>
      </c>
      <c r="I936" s="280">
        <v>14</v>
      </c>
      <c r="J936" s="280">
        <v>0</v>
      </c>
      <c r="K936" s="280">
        <v>14</v>
      </c>
      <c r="L936" s="280">
        <v>14</v>
      </c>
      <c r="M936" s="281">
        <v>23.1</v>
      </c>
    </row>
    <row r="937" spans="1:13" ht="14.25">
      <c r="A937" s="274">
        <v>11510</v>
      </c>
      <c r="B937" s="275" t="s">
        <v>368</v>
      </c>
      <c r="C937" s="275" t="s">
        <v>99</v>
      </c>
      <c r="D937" s="275" t="s">
        <v>100</v>
      </c>
      <c r="E937" s="276">
        <v>1.65</v>
      </c>
      <c r="F937" s="276" t="s">
        <v>122</v>
      </c>
      <c r="G937" s="276">
        <v>0</v>
      </c>
      <c r="H937" s="276">
        <v>30</v>
      </c>
      <c r="I937" s="276">
        <v>57</v>
      </c>
      <c r="J937" s="276">
        <v>0</v>
      </c>
      <c r="K937" s="276">
        <v>87</v>
      </c>
      <c r="L937" s="276">
        <v>57</v>
      </c>
      <c r="M937" s="277">
        <v>94.05</v>
      </c>
    </row>
    <row r="938" spans="1:13" ht="9.75">
      <c r="A938" s="282">
        <v>11510</v>
      </c>
      <c r="B938" s="283" t="s">
        <v>163</v>
      </c>
      <c r="C938" s="283"/>
      <c r="D938" s="283"/>
      <c r="E938" s="283"/>
      <c r="F938" s="284" t="s">
        <v>132</v>
      </c>
      <c r="G938" s="284">
        <v>275</v>
      </c>
      <c r="H938" s="284">
        <v>6</v>
      </c>
      <c r="I938" s="284">
        <v>203</v>
      </c>
      <c r="J938" s="284">
        <v>2</v>
      </c>
      <c r="K938" s="284">
        <v>486</v>
      </c>
      <c r="L938" s="284"/>
      <c r="M938" s="1052"/>
    </row>
    <row r="939" spans="1:13" ht="9.75">
      <c r="A939" s="282">
        <v>11510</v>
      </c>
      <c r="B939" s="283" t="s">
        <v>163</v>
      </c>
      <c r="C939" s="283"/>
      <c r="D939" s="283"/>
      <c r="E939" s="283"/>
      <c r="F939" s="284" t="s">
        <v>109</v>
      </c>
      <c r="G939" s="284">
        <v>0</v>
      </c>
      <c r="H939" s="284">
        <v>67</v>
      </c>
      <c r="I939" s="284">
        <v>575</v>
      </c>
      <c r="J939" s="284">
        <v>16</v>
      </c>
      <c r="K939" s="284">
        <v>658</v>
      </c>
      <c r="L939" s="284"/>
      <c r="M939" s="1052"/>
    </row>
    <row r="940" spans="1:13" ht="9.75">
      <c r="A940" s="282">
        <v>11510</v>
      </c>
      <c r="B940" s="283" t="s">
        <v>163</v>
      </c>
      <c r="C940" s="283"/>
      <c r="D940" s="283"/>
      <c r="E940" s="283"/>
      <c r="F940" s="284" t="s">
        <v>110</v>
      </c>
      <c r="G940" s="284">
        <v>0</v>
      </c>
      <c r="H940" s="284">
        <v>0</v>
      </c>
      <c r="I940" s="284">
        <v>0</v>
      </c>
      <c r="J940" s="284">
        <v>0</v>
      </c>
      <c r="K940" s="284">
        <v>0</v>
      </c>
      <c r="L940" s="284"/>
      <c r="M940" s="1052"/>
    </row>
    <row r="941" spans="1:13" ht="9.75">
      <c r="A941" s="282">
        <v>11510</v>
      </c>
      <c r="B941" s="283" t="s">
        <v>163</v>
      </c>
      <c r="C941" s="283"/>
      <c r="D941" s="283"/>
      <c r="E941" s="283"/>
      <c r="F941" s="284" t="s">
        <v>113</v>
      </c>
      <c r="G941" s="284">
        <v>0</v>
      </c>
      <c r="H941" s="284">
        <v>0</v>
      </c>
      <c r="I941" s="284">
        <v>0</v>
      </c>
      <c r="J941" s="284">
        <v>0</v>
      </c>
      <c r="K941" s="284">
        <v>0</v>
      </c>
      <c r="L941" s="284"/>
      <c r="M941" s="1052"/>
    </row>
    <row r="942" spans="1:13" ht="9.75">
      <c r="A942" s="282">
        <v>11510</v>
      </c>
      <c r="B942" s="283" t="s">
        <v>163</v>
      </c>
      <c r="C942" s="283"/>
      <c r="D942" s="283"/>
      <c r="E942" s="283"/>
      <c r="F942" s="284" t="s">
        <v>116</v>
      </c>
      <c r="G942" s="284">
        <v>0</v>
      </c>
      <c r="H942" s="284">
        <v>3</v>
      </c>
      <c r="I942" s="284">
        <v>242</v>
      </c>
      <c r="J942" s="284">
        <v>1</v>
      </c>
      <c r="K942" s="284">
        <v>246</v>
      </c>
      <c r="L942" s="284"/>
      <c r="M942" s="1052"/>
    </row>
    <row r="943" spans="1:13" ht="9.75">
      <c r="A943" s="282">
        <v>11510</v>
      </c>
      <c r="B943" s="283" t="s">
        <v>163</v>
      </c>
      <c r="C943" s="283"/>
      <c r="D943" s="283"/>
      <c r="E943" s="283"/>
      <c r="F943" s="284" t="s">
        <v>114</v>
      </c>
      <c r="G943" s="284">
        <v>0</v>
      </c>
      <c r="H943" s="284">
        <v>22</v>
      </c>
      <c r="I943" s="284">
        <v>367</v>
      </c>
      <c r="J943" s="284">
        <v>3</v>
      </c>
      <c r="K943" s="284">
        <v>392</v>
      </c>
      <c r="L943" s="284"/>
      <c r="M943" s="1052"/>
    </row>
    <row r="944" spans="1:13" ht="9.75">
      <c r="A944" s="282">
        <v>11510</v>
      </c>
      <c r="B944" s="283" t="s">
        <v>163</v>
      </c>
      <c r="C944" s="283"/>
      <c r="D944" s="283"/>
      <c r="E944" s="283"/>
      <c r="F944" s="284" t="s">
        <v>119</v>
      </c>
      <c r="G944" s="284">
        <v>0</v>
      </c>
      <c r="H944" s="284">
        <v>0</v>
      </c>
      <c r="I944" s="284">
        <v>19</v>
      </c>
      <c r="J944" s="284">
        <v>0</v>
      </c>
      <c r="K944" s="284">
        <v>19</v>
      </c>
      <c r="L944" s="284"/>
      <c r="M944" s="1052"/>
    </row>
    <row r="945" spans="1:13" ht="9.75">
      <c r="A945" s="282">
        <v>11510</v>
      </c>
      <c r="B945" s="283" t="s">
        <v>163</v>
      </c>
      <c r="C945" s="283"/>
      <c r="D945" s="283"/>
      <c r="E945" s="283"/>
      <c r="F945" s="284" t="s">
        <v>122</v>
      </c>
      <c r="G945" s="284">
        <v>0</v>
      </c>
      <c r="H945" s="284">
        <v>42</v>
      </c>
      <c r="I945" s="284">
        <v>65</v>
      </c>
      <c r="J945" s="284">
        <v>0</v>
      </c>
      <c r="K945" s="284">
        <v>107</v>
      </c>
      <c r="L945" s="284"/>
      <c r="M945" s="1052"/>
    </row>
    <row r="946" spans="1:13" ht="14.25">
      <c r="A946" s="285">
        <v>1100</v>
      </c>
      <c r="B946" s="286" t="s">
        <v>370</v>
      </c>
      <c r="C946" s="286"/>
      <c r="D946" s="286"/>
      <c r="E946" s="286"/>
      <c r="F946" s="287" t="s">
        <v>132</v>
      </c>
      <c r="G946" s="287">
        <v>4205</v>
      </c>
      <c r="H946" s="287">
        <v>241</v>
      </c>
      <c r="I946" s="287">
        <v>2282</v>
      </c>
      <c r="J946" s="287">
        <v>57</v>
      </c>
      <c r="K946" s="287">
        <v>6785</v>
      </c>
      <c r="L946" s="287">
        <v>6515.5</v>
      </c>
      <c r="M946" s="288">
        <v>9687.45</v>
      </c>
    </row>
    <row r="947" spans="1:13" ht="14.25">
      <c r="A947" s="285">
        <v>1100</v>
      </c>
      <c r="B947" s="286" t="s">
        <v>370</v>
      </c>
      <c r="C947" s="286"/>
      <c r="D947" s="286"/>
      <c r="E947" s="286"/>
      <c r="F947" s="287" t="s">
        <v>109</v>
      </c>
      <c r="G947" s="287">
        <v>0</v>
      </c>
      <c r="H947" s="287">
        <v>1662</v>
      </c>
      <c r="I947" s="287">
        <v>8901</v>
      </c>
      <c r="J947" s="287">
        <v>250</v>
      </c>
      <c r="K947" s="287">
        <v>10813</v>
      </c>
      <c r="L947" s="287">
        <v>9026</v>
      </c>
      <c r="M947" s="288">
        <v>13394.61</v>
      </c>
    </row>
    <row r="948" spans="1:13" ht="14.25">
      <c r="A948" s="285">
        <v>1100</v>
      </c>
      <c r="B948" s="286" t="s">
        <v>370</v>
      </c>
      <c r="C948" s="286"/>
      <c r="D948" s="286"/>
      <c r="E948" s="286"/>
      <c r="F948" s="287" t="s">
        <v>110</v>
      </c>
      <c r="G948" s="287">
        <v>1887</v>
      </c>
      <c r="H948" s="287">
        <v>44</v>
      </c>
      <c r="I948" s="287">
        <v>724</v>
      </c>
      <c r="J948" s="287">
        <v>8</v>
      </c>
      <c r="K948" s="287">
        <v>2663</v>
      </c>
      <c r="L948" s="287">
        <v>2615</v>
      </c>
      <c r="M948" s="288">
        <v>5925.8</v>
      </c>
    </row>
    <row r="949" spans="1:13" ht="14.25">
      <c r="A949" s="285">
        <v>1100</v>
      </c>
      <c r="B949" s="286" t="s">
        <v>370</v>
      </c>
      <c r="C949" s="286"/>
      <c r="D949" s="286"/>
      <c r="E949" s="286"/>
      <c r="F949" s="287" t="s">
        <v>113</v>
      </c>
      <c r="G949" s="287">
        <v>0</v>
      </c>
      <c r="H949" s="287">
        <v>971</v>
      </c>
      <c r="I949" s="287">
        <v>8752</v>
      </c>
      <c r="J949" s="287">
        <v>94</v>
      </c>
      <c r="K949" s="287">
        <v>9817</v>
      </c>
      <c r="L949" s="287">
        <v>8799</v>
      </c>
      <c r="M949" s="288">
        <v>19531.18</v>
      </c>
    </row>
    <row r="950" spans="1:13" ht="14.25">
      <c r="A950" s="285">
        <v>1100</v>
      </c>
      <c r="B950" s="286" t="s">
        <v>370</v>
      </c>
      <c r="C950" s="286"/>
      <c r="D950" s="286"/>
      <c r="E950" s="286"/>
      <c r="F950" s="287" t="s">
        <v>116</v>
      </c>
      <c r="G950" s="287">
        <v>0</v>
      </c>
      <c r="H950" s="287">
        <v>97</v>
      </c>
      <c r="I950" s="287">
        <v>3237</v>
      </c>
      <c r="J950" s="287">
        <v>11</v>
      </c>
      <c r="K950" s="287">
        <v>3345</v>
      </c>
      <c r="L950" s="287">
        <v>3242.5</v>
      </c>
      <c r="M950" s="288">
        <v>4737.69</v>
      </c>
    </row>
    <row r="951" spans="1:13" ht="14.25">
      <c r="A951" s="285">
        <v>1100</v>
      </c>
      <c r="B951" s="286" t="s">
        <v>370</v>
      </c>
      <c r="C951" s="286"/>
      <c r="D951" s="286"/>
      <c r="E951" s="286"/>
      <c r="F951" s="287" t="s">
        <v>114</v>
      </c>
      <c r="G951" s="287">
        <v>0</v>
      </c>
      <c r="H951" s="287">
        <v>731</v>
      </c>
      <c r="I951" s="287">
        <v>4215</v>
      </c>
      <c r="J951" s="287">
        <v>82</v>
      </c>
      <c r="K951" s="287">
        <v>5028</v>
      </c>
      <c r="L951" s="287">
        <v>4256</v>
      </c>
      <c r="M951" s="288">
        <v>6141.03</v>
      </c>
    </row>
    <row r="952" spans="1:13" ht="14.25">
      <c r="A952" s="285">
        <v>1100</v>
      </c>
      <c r="B952" s="286" t="s">
        <v>370</v>
      </c>
      <c r="C952" s="286"/>
      <c r="D952" s="286"/>
      <c r="E952" s="286"/>
      <c r="F952" s="287" t="s">
        <v>119</v>
      </c>
      <c r="G952" s="287">
        <v>0</v>
      </c>
      <c r="H952" s="287">
        <v>79</v>
      </c>
      <c r="I952" s="287">
        <v>1200</v>
      </c>
      <c r="J952" s="287">
        <v>4</v>
      </c>
      <c r="K952" s="287">
        <v>1283</v>
      </c>
      <c r="L952" s="287">
        <v>1202</v>
      </c>
      <c r="M952" s="288">
        <v>2297.49</v>
      </c>
    </row>
    <row r="953" spans="1:13" ht="15" thickBot="1">
      <c r="A953" s="541">
        <v>1100</v>
      </c>
      <c r="B953" s="542" t="s">
        <v>370</v>
      </c>
      <c r="C953" s="542"/>
      <c r="D953" s="542"/>
      <c r="E953" s="542"/>
      <c r="F953" s="543" t="s">
        <v>122</v>
      </c>
      <c r="G953" s="543">
        <v>0</v>
      </c>
      <c r="H953" s="543">
        <v>1886</v>
      </c>
      <c r="I953" s="543">
        <v>3393</v>
      </c>
      <c r="J953" s="543">
        <v>42</v>
      </c>
      <c r="K953" s="543">
        <v>5321</v>
      </c>
      <c r="L953" s="543">
        <v>3414</v>
      </c>
      <c r="M953" s="544">
        <v>6493.55</v>
      </c>
    </row>
    <row r="954" ht="9.75">
      <c r="F954" s="99"/>
    </row>
    <row r="955" ht="9.75">
      <c r="F955" s="99"/>
    </row>
    <row r="956" ht="9.75">
      <c r="F956" s="99"/>
    </row>
    <row r="957" ht="9.75">
      <c r="F957" s="99"/>
    </row>
    <row r="958" ht="9.75">
      <c r="F958" s="99"/>
    </row>
    <row r="959" ht="9.75">
      <c r="F959" s="99"/>
    </row>
    <row r="960" ht="9.75">
      <c r="F960" s="99"/>
    </row>
    <row r="961" ht="9.75">
      <c r="F961" s="99"/>
    </row>
    <row r="962" ht="9.75">
      <c r="F962" s="99"/>
    </row>
    <row r="963" ht="9.75">
      <c r="F963" s="99"/>
    </row>
    <row r="964" ht="9.75">
      <c r="F964" s="99"/>
    </row>
    <row r="965" ht="9.75">
      <c r="F965" s="99"/>
    </row>
    <row r="966" ht="9.75">
      <c r="F966" s="99"/>
    </row>
    <row r="967" ht="9.75">
      <c r="F967" s="99"/>
    </row>
    <row r="968" ht="9.75">
      <c r="F968" s="99"/>
    </row>
    <row r="969" ht="9.75">
      <c r="F969" s="99"/>
    </row>
    <row r="970" ht="9.75">
      <c r="F970" s="99"/>
    </row>
    <row r="971" ht="9.75">
      <c r="F971" s="99"/>
    </row>
    <row r="972" ht="9.75">
      <c r="F972" s="99"/>
    </row>
    <row r="973" ht="9.75">
      <c r="F973" s="99"/>
    </row>
    <row r="974" ht="9.75">
      <c r="F974" s="99"/>
    </row>
    <row r="975" ht="9.75">
      <c r="F975" s="99"/>
    </row>
    <row r="976" ht="9.75">
      <c r="F976" s="99"/>
    </row>
    <row r="977" ht="9.75">
      <c r="F977" s="99"/>
    </row>
    <row r="978" ht="9.75">
      <c r="F978" s="99"/>
    </row>
    <row r="979" ht="9.75">
      <c r="F979" s="99"/>
    </row>
    <row r="980" ht="9.75">
      <c r="F980" s="99"/>
    </row>
    <row r="981" ht="9.75">
      <c r="F981" s="99"/>
    </row>
    <row r="982" ht="9.75">
      <c r="F982" s="99"/>
    </row>
    <row r="983" ht="9.75">
      <c r="F983" s="99"/>
    </row>
    <row r="984" ht="9.75">
      <c r="F984" s="99"/>
    </row>
    <row r="985" ht="9.75">
      <c r="F985" s="99"/>
    </row>
    <row r="986" ht="9.75">
      <c r="F986" s="99"/>
    </row>
    <row r="987" ht="9.75">
      <c r="F987" s="99"/>
    </row>
    <row r="988" ht="9.75">
      <c r="F988" s="99"/>
    </row>
    <row r="989" ht="9.75">
      <c r="F989" s="99"/>
    </row>
    <row r="990" ht="9.75">
      <c r="F990" s="99"/>
    </row>
    <row r="991" ht="9.75">
      <c r="F991" s="99"/>
    </row>
    <row r="992" ht="9.75">
      <c r="F992" s="99"/>
    </row>
    <row r="993" ht="9.75">
      <c r="F993" s="99"/>
    </row>
    <row r="994" ht="9.75">
      <c r="F994" s="99"/>
    </row>
    <row r="995" ht="9.75">
      <c r="F995" s="99"/>
    </row>
    <row r="996" ht="9.75">
      <c r="F996" s="99"/>
    </row>
    <row r="997" ht="9.75">
      <c r="F997" s="99"/>
    </row>
    <row r="998" ht="9.75">
      <c r="F998" s="99"/>
    </row>
    <row r="999" ht="9.75">
      <c r="F999" s="99"/>
    </row>
    <row r="1000" ht="9.75">
      <c r="F1000" s="99"/>
    </row>
    <row r="1001" ht="9.75">
      <c r="F1001" s="99"/>
    </row>
    <row r="1002" ht="9.75">
      <c r="F1002" s="99"/>
    </row>
    <row r="1003" ht="9.75">
      <c r="F1003" s="99"/>
    </row>
    <row r="1004" ht="9.75">
      <c r="F1004" s="99"/>
    </row>
    <row r="1005" ht="9.75">
      <c r="F1005" s="99"/>
    </row>
    <row r="1006" ht="9.75">
      <c r="F1006" s="99"/>
    </row>
    <row r="1007" ht="9.75">
      <c r="F1007" s="99"/>
    </row>
    <row r="1008" ht="9.75">
      <c r="F1008" s="99"/>
    </row>
    <row r="1009" ht="9.75">
      <c r="F1009" s="99"/>
    </row>
    <row r="1010" ht="9.75">
      <c r="F1010" s="99"/>
    </row>
    <row r="1011" ht="9.75">
      <c r="F1011" s="99"/>
    </row>
    <row r="1012" ht="9.75">
      <c r="F1012" s="99"/>
    </row>
    <row r="1013" ht="9.75">
      <c r="F1013" s="99"/>
    </row>
    <row r="1014" ht="9.75">
      <c r="F1014" s="99"/>
    </row>
    <row r="1015" ht="9.75">
      <c r="F1015" s="99"/>
    </row>
    <row r="1016" ht="9.75">
      <c r="F1016" s="99"/>
    </row>
    <row r="1017" ht="9.75">
      <c r="F1017" s="99"/>
    </row>
    <row r="1018" ht="9.75">
      <c r="F1018" s="99"/>
    </row>
    <row r="1019" ht="9.75">
      <c r="F1019" s="99"/>
    </row>
    <row r="1020" ht="9.75">
      <c r="F1020" s="99"/>
    </row>
    <row r="1021" ht="9.75">
      <c r="F1021" s="99"/>
    </row>
    <row r="1022" ht="9.75">
      <c r="F1022" s="99"/>
    </row>
    <row r="1023" ht="9.75">
      <c r="F1023" s="99"/>
    </row>
    <row r="1024" ht="9.75">
      <c r="F1024" s="99"/>
    </row>
    <row r="1025" ht="9.75">
      <c r="F1025" s="99"/>
    </row>
    <row r="1026" ht="9.75">
      <c r="F1026" s="99"/>
    </row>
    <row r="1027" ht="9.75">
      <c r="F1027" s="99"/>
    </row>
    <row r="1028" ht="9.75">
      <c r="F1028" s="99"/>
    </row>
    <row r="1029" ht="9.75">
      <c r="F1029" s="99"/>
    </row>
    <row r="1030" ht="9.75">
      <c r="F1030" s="99"/>
    </row>
    <row r="1031" ht="9.75">
      <c r="F1031" s="99"/>
    </row>
    <row r="1032" ht="9.75">
      <c r="F1032" s="99"/>
    </row>
    <row r="1033" ht="9.75">
      <c r="F1033" s="99"/>
    </row>
    <row r="1034" ht="9.75">
      <c r="F1034" s="99"/>
    </row>
    <row r="1035" ht="9.75">
      <c r="F1035" s="99"/>
    </row>
    <row r="1036" ht="9.75">
      <c r="F1036" s="99"/>
    </row>
    <row r="1037" ht="9.75">
      <c r="F1037" s="99"/>
    </row>
    <row r="1038" ht="9.75">
      <c r="F1038" s="99"/>
    </row>
    <row r="1039" ht="9.75">
      <c r="F1039" s="99"/>
    </row>
    <row r="1040" ht="9.75">
      <c r="F1040" s="99"/>
    </row>
    <row r="1041" ht="9.75">
      <c r="F1041" s="99"/>
    </row>
    <row r="1042" ht="9.75">
      <c r="F1042" s="99"/>
    </row>
    <row r="1043" ht="9.75">
      <c r="F1043" s="99"/>
    </row>
    <row r="1044" ht="9.75">
      <c r="F1044" s="99"/>
    </row>
    <row r="1045" ht="9.75">
      <c r="F1045" s="99"/>
    </row>
    <row r="1046" ht="9.75">
      <c r="F1046" s="99"/>
    </row>
    <row r="1047" ht="9.75">
      <c r="F1047" s="99"/>
    </row>
    <row r="1048" ht="9.75">
      <c r="F1048" s="99"/>
    </row>
    <row r="1049" ht="9.75">
      <c r="F1049" s="99"/>
    </row>
    <row r="1050" ht="9.75">
      <c r="F1050" s="99"/>
    </row>
    <row r="1051" ht="9.75">
      <c r="F1051" s="99"/>
    </row>
    <row r="1052" ht="9.75">
      <c r="F1052" s="99"/>
    </row>
    <row r="1053" ht="9.75">
      <c r="F1053" s="99"/>
    </row>
    <row r="1054" ht="9.75">
      <c r="F1054" s="99"/>
    </row>
    <row r="1055" ht="9.75">
      <c r="F1055" s="99"/>
    </row>
    <row r="1056" ht="9.75">
      <c r="F1056" s="99"/>
    </row>
    <row r="1057" ht="9.75">
      <c r="F1057" s="99"/>
    </row>
    <row r="1058" ht="9.75">
      <c r="F1058" s="99"/>
    </row>
    <row r="1059" ht="9.75">
      <c r="F1059" s="99"/>
    </row>
    <row r="1060" ht="9.75">
      <c r="F1060" s="99"/>
    </row>
    <row r="1061" ht="9.75">
      <c r="F1061" s="99"/>
    </row>
    <row r="1062" ht="9.75">
      <c r="F1062" s="99"/>
    </row>
    <row r="1063" ht="9.75">
      <c r="F1063" s="99"/>
    </row>
    <row r="1064" ht="9.75">
      <c r="F1064" s="99"/>
    </row>
    <row r="1065" ht="9.75">
      <c r="F1065" s="99"/>
    </row>
    <row r="1066" ht="9.75">
      <c r="F1066" s="99"/>
    </row>
    <row r="1067" ht="9.75">
      <c r="F1067" s="99"/>
    </row>
    <row r="1068" ht="9.75">
      <c r="F1068" s="99"/>
    </row>
    <row r="1069" ht="9.75">
      <c r="F1069" s="99"/>
    </row>
    <row r="1070" ht="9.75">
      <c r="F1070" s="99"/>
    </row>
    <row r="1071" ht="9.75">
      <c r="F1071" s="99"/>
    </row>
    <row r="1072" ht="9.75">
      <c r="F1072" s="99"/>
    </row>
    <row r="1073" ht="9.75">
      <c r="F1073" s="99"/>
    </row>
    <row r="1074" ht="9.75">
      <c r="F1074" s="99"/>
    </row>
    <row r="1075" ht="9.75">
      <c r="F1075" s="99"/>
    </row>
    <row r="1076" ht="9.75">
      <c r="F1076" s="99"/>
    </row>
    <row r="1077" ht="9.75">
      <c r="F1077" s="99"/>
    </row>
    <row r="1078" ht="9.75">
      <c r="F1078" s="99"/>
    </row>
    <row r="1079" ht="9.75">
      <c r="F1079" s="99"/>
    </row>
    <row r="1080" ht="9.75">
      <c r="F1080" s="99"/>
    </row>
    <row r="1081" ht="9.75">
      <c r="F1081" s="99"/>
    </row>
    <row r="1082" ht="9.75">
      <c r="F1082" s="99"/>
    </row>
    <row r="1083" ht="9.75">
      <c r="F1083" s="99"/>
    </row>
    <row r="1084" ht="9.75">
      <c r="F1084" s="99"/>
    </row>
    <row r="1085" ht="9.75">
      <c r="F1085" s="99"/>
    </row>
    <row r="1086" ht="9.75">
      <c r="F1086" s="99"/>
    </row>
    <row r="1087" ht="9.75">
      <c r="F1087" s="99"/>
    </row>
    <row r="1088" ht="9.75">
      <c r="F1088" s="99"/>
    </row>
    <row r="1089" ht="9.75">
      <c r="F1089" s="99"/>
    </row>
    <row r="1090" ht="9.75">
      <c r="F1090" s="99"/>
    </row>
    <row r="1091" ht="9.75">
      <c r="F1091" s="99"/>
    </row>
    <row r="1092" ht="9.75">
      <c r="F1092" s="99"/>
    </row>
    <row r="1093" ht="9.75">
      <c r="F1093" s="99"/>
    </row>
    <row r="1094" ht="9.75">
      <c r="F1094" s="99"/>
    </row>
    <row r="1095" ht="9.75">
      <c r="F1095" s="99"/>
    </row>
    <row r="1096" ht="9.75">
      <c r="F1096" s="99"/>
    </row>
    <row r="1097" ht="9.75">
      <c r="F1097" s="99"/>
    </row>
    <row r="1098" ht="9.75">
      <c r="F1098" s="99"/>
    </row>
    <row r="1099" ht="9.75">
      <c r="F1099" s="99"/>
    </row>
    <row r="1100" ht="9.75">
      <c r="F1100" s="99"/>
    </row>
    <row r="1101" ht="9.75">
      <c r="F1101" s="99"/>
    </row>
    <row r="1102" ht="9.75">
      <c r="F1102" s="99"/>
    </row>
    <row r="1103" ht="9.75">
      <c r="F1103" s="99"/>
    </row>
    <row r="1104" ht="9.75">
      <c r="F1104" s="99"/>
    </row>
    <row r="1105" ht="9.75">
      <c r="F1105" s="99"/>
    </row>
    <row r="1106" ht="9.75">
      <c r="F1106" s="99"/>
    </row>
    <row r="1107" ht="9.75">
      <c r="F1107" s="99"/>
    </row>
    <row r="1108" ht="9.75">
      <c r="F1108" s="99"/>
    </row>
    <row r="1109" ht="9.75">
      <c r="F1109" s="99"/>
    </row>
    <row r="1110" ht="9.75">
      <c r="F1110" s="99"/>
    </row>
    <row r="1111" ht="9.75">
      <c r="F1111" s="99"/>
    </row>
    <row r="1112" ht="9.75">
      <c r="F1112" s="99"/>
    </row>
    <row r="1113" ht="9.75">
      <c r="F1113" s="99"/>
    </row>
    <row r="1114" ht="9.75">
      <c r="F1114" s="99"/>
    </row>
    <row r="1115" ht="9.75">
      <c r="F1115" s="99"/>
    </row>
    <row r="1116" ht="9.75">
      <c r="F1116" s="99"/>
    </row>
    <row r="1117" ht="9.75">
      <c r="F1117" s="99"/>
    </row>
    <row r="1118" ht="9.75">
      <c r="F1118" s="99"/>
    </row>
    <row r="1119" ht="9.75">
      <c r="F1119" s="99"/>
    </row>
    <row r="1120" ht="9.75">
      <c r="F1120" s="99"/>
    </row>
    <row r="1121" ht="9.75">
      <c r="F1121" s="99"/>
    </row>
    <row r="1122" ht="9.75">
      <c r="F1122" s="99"/>
    </row>
    <row r="1123" ht="9.75">
      <c r="F1123" s="99"/>
    </row>
    <row r="1124" ht="9.75">
      <c r="F1124" s="99"/>
    </row>
    <row r="1125" ht="9.75">
      <c r="F1125" s="99"/>
    </row>
    <row r="1126" ht="9.75">
      <c r="F1126" s="99"/>
    </row>
    <row r="1127" ht="9.75">
      <c r="F1127" s="99"/>
    </row>
    <row r="1128" ht="9.75">
      <c r="F1128" s="99"/>
    </row>
    <row r="1129" ht="9.75">
      <c r="F1129" s="99"/>
    </row>
    <row r="1130" ht="9.75">
      <c r="F1130" s="99"/>
    </row>
    <row r="1131" ht="9.75">
      <c r="F1131" s="99"/>
    </row>
    <row r="1132" ht="9.75">
      <c r="F1132" s="99"/>
    </row>
    <row r="1133" ht="9.75">
      <c r="F1133" s="99"/>
    </row>
    <row r="1134" ht="9.75">
      <c r="F1134" s="99"/>
    </row>
    <row r="1135" ht="9.75">
      <c r="F1135" s="99"/>
    </row>
    <row r="1136" ht="9.75">
      <c r="F1136" s="99"/>
    </row>
    <row r="1137" ht="9.75">
      <c r="F1137" s="99"/>
    </row>
    <row r="1138" ht="9.75">
      <c r="F1138" s="99"/>
    </row>
    <row r="1139" ht="9.75">
      <c r="F1139" s="99"/>
    </row>
    <row r="1140" ht="9.75">
      <c r="F1140" s="99"/>
    </row>
    <row r="1141" ht="9.75">
      <c r="F1141" s="99"/>
    </row>
    <row r="1142" ht="9.75">
      <c r="F1142" s="99"/>
    </row>
    <row r="1143" ht="9.75">
      <c r="F1143" s="99"/>
    </row>
    <row r="1144" ht="9.75">
      <c r="F1144" s="99"/>
    </row>
    <row r="1145" ht="9.75">
      <c r="F1145" s="99"/>
    </row>
    <row r="1146" ht="9.75">
      <c r="F1146" s="99"/>
    </row>
    <row r="1147" ht="9.75">
      <c r="F1147" s="99"/>
    </row>
    <row r="1148" ht="9.75">
      <c r="F1148" s="99"/>
    </row>
    <row r="1149" ht="9.75">
      <c r="F1149" s="99"/>
    </row>
    <row r="1150" ht="9.75">
      <c r="F1150" s="99"/>
    </row>
    <row r="1151" ht="9.75">
      <c r="F1151" s="99"/>
    </row>
    <row r="1152" ht="9.75">
      <c r="F1152" s="99"/>
    </row>
    <row r="1153" ht="9.75">
      <c r="F1153" s="99"/>
    </row>
    <row r="1154" ht="9.75">
      <c r="F1154" s="99"/>
    </row>
    <row r="1155" ht="9.75">
      <c r="F1155" s="99"/>
    </row>
    <row r="1156" ht="9.75">
      <c r="F1156" s="99"/>
    </row>
    <row r="1157" ht="9.75">
      <c r="F1157" s="99"/>
    </row>
    <row r="1158" ht="9.75">
      <c r="F1158" s="99"/>
    </row>
    <row r="1159" ht="9.75">
      <c r="F1159" s="99"/>
    </row>
    <row r="1160" ht="9.75">
      <c r="F1160" s="99"/>
    </row>
    <row r="1161" ht="9.75">
      <c r="F1161" s="99"/>
    </row>
    <row r="1162" ht="9.75">
      <c r="F1162" s="99"/>
    </row>
    <row r="1163" ht="9.75">
      <c r="F1163" s="99"/>
    </row>
    <row r="1164" ht="9.75">
      <c r="F1164" s="99"/>
    </row>
    <row r="1165" ht="9.75">
      <c r="F1165" s="99"/>
    </row>
    <row r="1166" ht="9.75">
      <c r="F1166" s="99"/>
    </row>
    <row r="1167" ht="9.75">
      <c r="F1167" s="99"/>
    </row>
    <row r="1168" ht="9.75">
      <c r="F1168" s="99"/>
    </row>
    <row r="1169" ht="9.75">
      <c r="F1169" s="99"/>
    </row>
    <row r="1170" ht="9.75">
      <c r="F1170" s="99"/>
    </row>
    <row r="1171" ht="9.75">
      <c r="F1171" s="99"/>
    </row>
    <row r="1172" ht="9.75">
      <c r="F1172" s="99"/>
    </row>
    <row r="1173" ht="9.75">
      <c r="F1173" s="99"/>
    </row>
    <row r="1174" ht="9.75">
      <c r="F1174" s="99"/>
    </row>
    <row r="1175" ht="9.75">
      <c r="F1175" s="99"/>
    </row>
    <row r="1176" ht="9.75">
      <c r="F1176" s="99"/>
    </row>
    <row r="1177" ht="9.75">
      <c r="F1177" s="99"/>
    </row>
    <row r="1178" ht="9.75">
      <c r="F1178" s="99"/>
    </row>
    <row r="1179" ht="9.75">
      <c r="F1179" s="99"/>
    </row>
    <row r="1180" ht="9.75">
      <c r="F1180" s="99"/>
    </row>
    <row r="1181" ht="9.75">
      <c r="F1181" s="99"/>
    </row>
    <row r="1182" ht="9.75">
      <c r="F1182" s="99"/>
    </row>
    <row r="1183" ht="9.75">
      <c r="F1183" s="99"/>
    </row>
    <row r="1184" ht="9.75">
      <c r="F1184" s="99"/>
    </row>
    <row r="1185" ht="9.75">
      <c r="F1185" s="99"/>
    </row>
    <row r="1186" ht="9.75">
      <c r="F1186" s="99"/>
    </row>
    <row r="1187" ht="9.75">
      <c r="F1187" s="99"/>
    </row>
    <row r="1188" ht="9.75">
      <c r="F1188" s="99"/>
    </row>
    <row r="1189" ht="9.75">
      <c r="F1189" s="99"/>
    </row>
    <row r="1190" ht="9.75">
      <c r="F1190" s="99"/>
    </row>
    <row r="1191" ht="9.75">
      <c r="F1191" s="99"/>
    </row>
    <row r="1192" ht="9.75">
      <c r="F1192" s="99"/>
    </row>
    <row r="1193" ht="9.75">
      <c r="F1193" s="99"/>
    </row>
    <row r="1194" ht="9.75">
      <c r="F1194" s="99"/>
    </row>
    <row r="1195" ht="9.75">
      <c r="F1195" s="99"/>
    </row>
    <row r="1196" ht="9.75">
      <c r="F1196" s="99"/>
    </row>
    <row r="1197" ht="9.75">
      <c r="F1197" s="99"/>
    </row>
    <row r="1198" ht="9.75">
      <c r="F1198" s="99"/>
    </row>
    <row r="1199" ht="9.75">
      <c r="F1199" s="99"/>
    </row>
    <row r="1200" ht="9.75">
      <c r="F1200" s="99"/>
    </row>
    <row r="1201" ht="9.75">
      <c r="F1201" s="99"/>
    </row>
    <row r="1202" ht="9.75">
      <c r="F1202" s="99"/>
    </row>
    <row r="1203" ht="9.75">
      <c r="F1203" s="99"/>
    </row>
    <row r="1204" ht="9.75">
      <c r="F1204" s="99"/>
    </row>
    <row r="1205" ht="9.75">
      <c r="F1205" s="99"/>
    </row>
    <row r="1206" ht="9.75">
      <c r="F1206" s="99"/>
    </row>
    <row r="1207" ht="9.75">
      <c r="F1207" s="99"/>
    </row>
    <row r="1208" ht="9.75">
      <c r="F1208" s="99"/>
    </row>
    <row r="1209" ht="9.75">
      <c r="F1209" s="99"/>
    </row>
    <row r="1210" ht="9.75">
      <c r="F1210" s="99"/>
    </row>
    <row r="1211" ht="9.75">
      <c r="F1211" s="99"/>
    </row>
    <row r="1212" ht="9.75">
      <c r="F1212" s="99"/>
    </row>
    <row r="1213" ht="9.75">
      <c r="F1213" s="99"/>
    </row>
    <row r="1214" ht="9.75">
      <c r="F1214" s="99"/>
    </row>
    <row r="1215" ht="9.75">
      <c r="F1215" s="99"/>
    </row>
    <row r="1216" ht="9.75">
      <c r="F1216" s="99"/>
    </row>
    <row r="1217" ht="9.75">
      <c r="F1217" s="99"/>
    </row>
    <row r="1218" ht="9.75">
      <c r="F1218" s="99"/>
    </row>
    <row r="1219" ht="9.75">
      <c r="F1219" s="99"/>
    </row>
    <row r="1220" ht="9.75">
      <c r="F1220" s="99"/>
    </row>
    <row r="1221" ht="9.75">
      <c r="F1221" s="99"/>
    </row>
    <row r="1222" ht="9.75">
      <c r="F1222" s="99"/>
    </row>
    <row r="1223" ht="9.75">
      <c r="F1223" s="99"/>
    </row>
    <row r="1224" ht="9.75">
      <c r="F1224" s="99"/>
    </row>
    <row r="1225" ht="9.75">
      <c r="F1225" s="99"/>
    </row>
    <row r="1226" ht="9.75">
      <c r="F1226" s="99"/>
    </row>
    <row r="1227" ht="9.75">
      <c r="F1227" s="99"/>
    </row>
    <row r="1228" ht="9.75">
      <c r="F1228" s="99"/>
    </row>
    <row r="1229" ht="9.75">
      <c r="F1229" s="99"/>
    </row>
    <row r="1230" ht="9.75">
      <c r="F1230" s="99"/>
    </row>
    <row r="1231" ht="9.75">
      <c r="F1231" s="99"/>
    </row>
    <row r="1232" ht="9.75">
      <c r="F1232" s="99"/>
    </row>
    <row r="1233" ht="9.75">
      <c r="F1233" s="99"/>
    </row>
    <row r="1234" ht="9.75">
      <c r="F1234" s="99"/>
    </row>
    <row r="1235" ht="9.75">
      <c r="F1235" s="99"/>
    </row>
    <row r="1236" ht="9.75">
      <c r="F1236" s="99"/>
    </row>
    <row r="1237" ht="9.75">
      <c r="F1237" s="99"/>
    </row>
    <row r="1238" ht="9.75">
      <c r="F1238" s="99"/>
    </row>
    <row r="1239" ht="9.75">
      <c r="F1239" s="99"/>
    </row>
    <row r="1240" ht="9.75">
      <c r="F1240" s="99"/>
    </row>
    <row r="1241" ht="9.75">
      <c r="F1241" s="99"/>
    </row>
    <row r="1242" ht="9.75">
      <c r="F1242" s="99"/>
    </row>
    <row r="1243" ht="9.75">
      <c r="F1243" s="99"/>
    </row>
    <row r="1244" ht="9.75">
      <c r="F1244" s="99"/>
    </row>
    <row r="1245" ht="9.75">
      <c r="F1245" s="99"/>
    </row>
    <row r="1246" ht="9.75">
      <c r="F1246" s="99"/>
    </row>
    <row r="1247" ht="9.75">
      <c r="F1247" s="99"/>
    </row>
    <row r="1248" ht="9.75">
      <c r="F1248" s="99"/>
    </row>
    <row r="1249" ht="9.75">
      <c r="F1249" s="99"/>
    </row>
    <row r="1250" ht="9.75">
      <c r="F1250" s="99"/>
    </row>
    <row r="1251" ht="9.75">
      <c r="F1251" s="99"/>
    </row>
    <row r="1252" ht="9.75">
      <c r="F1252" s="99"/>
    </row>
    <row r="1253" ht="9.75">
      <c r="F1253" s="99"/>
    </row>
    <row r="1254" ht="9.75">
      <c r="F1254" s="99"/>
    </row>
    <row r="1255" ht="9.75">
      <c r="F1255" s="99"/>
    </row>
    <row r="1256" ht="9.75">
      <c r="F1256" s="99"/>
    </row>
    <row r="1257" ht="9.75">
      <c r="F1257" s="99"/>
    </row>
    <row r="1258" ht="9.75">
      <c r="F1258" s="99"/>
    </row>
    <row r="1259" ht="9.75">
      <c r="F1259" s="99"/>
    </row>
    <row r="1260" ht="9.75">
      <c r="F1260" s="99"/>
    </row>
    <row r="1261" ht="9.75">
      <c r="F1261" s="99"/>
    </row>
    <row r="1262" ht="9.75">
      <c r="F1262" s="99"/>
    </row>
    <row r="1263" ht="9.75">
      <c r="F1263" s="99"/>
    </row>
    <row r="1264" ht="9.75">
      <c r="F1264" s="99"/>
    </row>
    <row r="1265" ht="9.75">
      <c r="F1265" s="99"/>
    </row>
    <row r="1266" ht="9.75">
      <c r="F1266" s="99"/>
    </row>
    <row r="1267" ht="9.75">
      <c r="F1267" s="99"/>
    </row>
    <row r="1268" ht="9.75">
      <c r="F1268" s="99"/>
    </row>
    <row r="1269" ht="9.75">
      <c r="F1269" s="99"/>
    </row>
    <row r="1270" ht="9.75">
      <c r="F1270" s="99"/>
    </row>
    <row r="1271" ht="9.75">
      <c r="F1271" s="99"/>
    </row>
    <row r="1272" ht="9.75">
      <c r="F1272" s="99"/>
    </row>
    <row r="1273" ht="9.75">
      <c r="F1273" s="99"/>
    </row>
    <row r="1274" ht="9.75">
      <c r="F1274" s="99"/>
    </row>
    <row r="1275" ht="9.75">
      <c r="F1275" s="99"/>
    </row>
    <row r="1276" ht="9.75">
      <c r="F1276" s="99"/>
    </row>
    <row r="1277" ht="9.75">
      <c r="F1277" s="99"/>
    </row>
    <row r="1278" ht="9.75">
      <c r="F1278" s="99"/>
    </row>
    <row r="1279" ht="9.75">
      <c r="F1279" s="99"/>
    </row>
    <row r="1280" ht="9.75">
      <c r="F1280" s="99"/>
    </row>
    <row r="1281" ht="9.75">
      <c r="F1281" s="99"/>
    </row>
    <row r="1282" ht="9.75">
      <c r="F1282" s="99"/>
    </row>
    <row r="1283" ht="9.75">
      <c r="F1283" s="99"/>
    </row>
    <row r="1284" ht="9.75">
      <c r="F1284" s="99"/>
    </row>
    <row r="1285" ht="9.75">
      <c r="F1285" s="99"/>
    </row>
    <row r="1286" ht="9.75">
      <c r="F1286" s="99"/>
    </row>
    <row r="1287" ht="9.75">
      <c r="F1287" s="99"/>
    </row>
    <row r="1288" ht="9.75">
      <c r="F1288" s="99"/>
    </row>
    <row r="1289" ht="9.75">
      <c r="F1289" s="99"/>
    </row>
    <row r="1290" ht="9.75">
      <c r="F1290" s="99"/>
    </row>
    <row r="1291" ht="9.75">
      <c r="F1291" s="99"/>
    </row>
    <row r="1292" ht="9.75">
      <c r="F1292" s="99"/>
    </row>
    <row r="1293" ht="9.75">
      <c r="F1293" s="99"/>
    </row>
    <row r="1294" ht="9.75">
      <c r="F1294" s="99"/>
    </row>
    <row r="1295" ht="9.75">
      <c r="F1295" s="99"/>
    </row>
    <row r="1296" ht="9.75">
      <c r="F1296" s="99"/>
    </row>
    <row r="1297" ht="9.75">
      <c r="F1297" s="99"/>
    </row>
    <row r="1298" ht="9.75">
      <c r="F1298" s="99"/>
    </row>
    <row r="1299" ht="9.75">
      <c r="F1299" s="99"/>
    </row>
    <row r="1300" ht="9.75">
      <c r="F1300" s="99"/>
    </row>
    <row r="1301" ht="9.75">
      <c r="F1301" s="99"/>
    </row>
    <row r="1302" ht="9.75">
      <c r="F1302" s="99"/>
    </row>
    <row r="1303" ht="9.75">
      <c r="F1303" s="99"/>
    </row>
    <row r="1304" ht="9.75">
      <c r="F1304" s="99"/>
    </row>
    <row r="1305" ht="9.75">
      <c r="F1305" s="99"/>
    </row>
    <row r="1306" ht="9.75">
      <c r="F1306" s="99"/>
    </row>
    <row r="1307" ht="9.75">
      <c r="F1307" s="99"/>
    </row>
    <row r="1308" ht="9.75">
      <c r="F1308" s="99"/>
    </row>
    <row r="1309" ht="9.75">
      <c r="F1309" s="99"/>
    </row>
    <row r="1310" ht="9.75">
      <c r="F1310" s="99"/>
    </row>
    <row r="1311" ht="9.75">
      <c r="F1311" s="99"/>
    </row>
    <row r="1312" ht="9.75">
      <c r="F1312" s="99"/>
    </row>
    <row r="1313" ht="9.75">
      <c r="F1313" s="99"/>
    </row>
    <row r="1314" ht="9.75">
      <c r="F1314" s="99"/>
    </row>
    <row r="1315" ht="9.75">
      <c r="F1315" s="99"/>
    </row>
    <row r="1316" ht="9.75">
      <c r="F1316" s="99"/>
    </row>
    <row r="1317" ht="9.75">
      <c r="F1317" s="99"/>
    </row>
    <row r="1318" ht="9.75">
      <c r="F1318" s="99"/>
    </row>
    <row r="1319" ht="9.75">
      <c r="F1319" s="99"/>
    </row>
    <row r="1320" ht="9.75">
      <c r="F1320" s="99"/>
    </row>
    <row r="1321" ht="9.75">
      <c r="F1321" s="99"/>
    </row>
    <row r="1322" ht="9.75">
      <c r="F1322" s="99"/>
    </row>
    <row r="1323" ht="9.75">
      <c r="F1323" s="99"/>
    </row>
    <row r="1324" ht="9.75">
      <c r="F1324" s="99"/>
    </row>
    <row r="1325" ht="9.75">
      <c r="F1325" s="99"/>
    </row>
    <row r="1326" ht="9.75">
      <c r="F1326" s="99"/>
    </row>
    <row r="1327" ht="9.75">
      <c r="F1327" s="99"/>
    </row>
    <row r="1328" ht="9.75">
      <c r="F1328" s="99"/>
    </row>
    <row r="1329" ht="9.75">
      <c r="F1329" s="99"/>
    </row>
    <row r="1330" ht="9.75">
      <c r="F1330" s="99"/>
    </row>
    <row r="1331" ht="9.75">
      <c r="F1331" s="99"/>
    </row>
    <row r="1332" ht="9.75">
      <c r="F1332" s="99"/>
    </row>
    <row r="1333" ht="9.75">
      <c r="F1333" s="99"/>
    </row>
    <row r="1334" ht="9.75">
      <c r="F1334" s="99"/>
    </row>
    <row r="1335" ht="9.75">
      <c r="F1335" s="99"/>
    </row>
    <row r="1336" ht="9.75">
      <c r="F1336" s="99"/>
    </row>
    <row r="1337" ht="9.75">
      <c r="F1337" s="99"/>
    </row>
    <row r="1338" ht="9.75">
      <c r="F1338" s="99"/>
    </row>
    <row r="1339" ht="9.75">
      <c r="F1339" s="99"/>
    </row>
    <row r="1340" ht="9.75">
      <c r="F1340" s="99"/>
    </row>
    <row r="1341" ht="9.75">
      <c r="F1341" s="99"/>
    </row>
    <row r="1342" ht="9.75">
      <c r="F1342" s="99"/>
    </row>
    <row r="1343" ht="9.75">
      <c r="F1343" s="99"/>
    </row>
    <row r="1344" ht="9.75">
      <c r="F1344" s="99"/>
    </row>
    <row r="1345" ht="9.75">
      <c r="F1345" s="99"/>
    </row>
    <row r="1346" ht="9.75">
      <c r="F1346" s="99"/>
    </row>
    <row r="1347" ht="9.75">
      <c r="F1347" s="99"/>
    </row>
    <row r="1348" ht="9.75">
      <c r="F1348" s="99"/>
    </row>
    <row r="1349" ht="9.75">
      <c r="F1349" s="99"/>
    </row>
    <row r="1350" ht="9.75">
      <c r="F1350" s="99"/>
    </row>
    <row r="1351" ht="9.75">
      <c r="F1351" s="99"/>
    </row>
    <row r="1352" ht="9.75">
      <c r="F1352" s="99"/>
    </row>
    <row r="1353" ht="9.75">
      <c r="F1353" s="99"/>
    </row>
    <row r="1354" ht="9.75">
      <c r="F1354" s="99"/>
    </row>
    <row r="1355" ht="9.75">
      <c r="F1355" s="99"/>
    </row>
    <row r="1356" ht="9.75">
      <c r="F1356" s="99"/>
    </row>
    <row r="1357" ht="9.75">
      <c r="F1357" s="99"/>
    </row>
    <row r="1358" ht="9.75">
      <c r="F1358" s="99"/>
    </row>
    <row r="1359" ht="9.75">
      <c r="F1359" s="99"/>
    </row>
    <row r="1360" ht="9.75">
      <c r="F1360" s="99"/>
    </row>
    <row r="1361" ht="9.75">
      <c r="F1361" s="99"/>
    </row>
    <row r="1362" ht="9.75">
      <c r="F1362" s="99"/>
    </row>
    <row r="1363" ht="9.75">
      <c r="F1363" s="99"/>
    </row>
    <row r="1364" ht="9.75">
      <c r="F1364" s="99"/>
    </row>
    <row r="1365" ht="9.75">
      <c r="F1365" s="99"/>
    </row>
    <row r="1366" ht="9.75">
      <c r="F1366" s="99"/>
    </row>
    <row r="1367" ht="9.75">
      <c r="F1367" s="99"/>
    </row>
    <row r="1368" ht="9.75">
      <c r="F1368" s="99"/>
    </row>
    <row r="1369" ht="9.75">
      <c r="F1369" s="99"/>
    </row>
    <row r="1370" ht="9.75">
      <c r="F1370" s="99"/>
    </row>
    <row r="1371" ht="9.75">
      <c r="F1371" s="99"/>
    </row>
    <row r="1372" ht="9.75">
      <c r="F1372" s="99"/>
    </row>
    <row r="1373" ht="9.75">
      <c r="F1373" s="99"/>
    </row>
    <row r="1374" ht="9.75">
      <c r="F1374" s="99"/>
    </row>
    <row r="1375" ht="9.75">
      <c r="F1375" s="99"/>
    </row>
    <row r="1376" ht="9.75">
      <c r="F1376" s="99"/>
    </row>
    <row r="1377" ht="9.75">
      <c r="F1377" s="99"/>
    </row>
    <row r="1378" ht="9.75">
      <c r="F1378" s="99"/>
    </row>
    <row r="1379" ht="9.75">
      <c r="F1379" s="99"/>
    </row>
    <row r="1380" ht="9.75">
      <c r="F1380" s="99"/>
    </row>
    <row r="1381" ht="9.75">
      <c r="F1381" s="99"/>
    </row>
    <row r="1382" ht="9.75">
      <c r="F1382" s="99"/>
    </row>
    <row r="1383" ht="9.75">
      <c r="F1383" s="99"/>
    </row>
    <row r="1384" ht="9.75">
      <c r="F1384" s="99"/>
    </row>
    <row r="1385" ht="9.75">
      <c r="F1385" s="99"/>
    </row>
    <row r="1386" ht="9.75">
      <c r="F1386" s="99"/>
    </row>
    <row r="1387" ht="9.75">
      <c r="F1387" s="99"/>
    </row>
    <row r="1388" ht="9.75">
      <c r="F1388" s="99"/>
    </row>
    <row r="1389" ht="9.75">
      <c r="F1389" s="99"/>
    </row>
    <row r="1390" ht="9.75">
      <c r="F1390" s="99"/>
    </row>
    <row r="1391" ht="9.75">
      <c r="F1391" s="99"/>
    </row>
    <row r="1392" ht="9.75">
      <c r="F1392" s="99"/>
    </row>
    <row r="1393" ht="9.75">
      <c r="F1393" s="99"/>
    </row>
    <row r="1394" ht="9.75">
      <c r="F1394" s="99"/>
    </row>
    <row r="1395" ht="9.75">
      <c r="F1395" s="99"/>
    </row>
    <row r="1396" ht="9.75">
      <c r="F1396" s="99"/>
    </row>
    <row r="1397" ht="9.75">
      <c r="F1397" s="99"/>
    </row>
    <row r="1398" ht="9.75">
      <c r="F1398" s="99"/>
    </row>
    <row r="1399" ht="9.75">
      <c r="F1399" s="99"/>
    </row>
    <row r="1400" ht="9.75">
      <c r="F1400" s="99"/>
    </row>
    <row r="1401" ht="9.75">
      <c r="F1401" s="99"/>
    </row>
    <row r="1402" ht="9.75">
      <c r="F1402" s="99"/>
    </row>
    <row r="1403" ht="9.75">
      <c r="F1403" s="99"/>
    </row>
    <row r="1404" ht="9.75">
      <c r="F1404" s="99"/>
    </row>
    <row r="1405" ht="9.75">
      <c r="F1405" s="99"/>
    </row>
    <row r="1406" ht="9.75">
      <c r="F1406" s="99"/>
    </row>
    <row r="1407" ht="9.75">
      <c r="F1407" s="99"/>
    </row>
    <row r="1408" ht="9.75">
      <c r="F1408" s="99"/>
    </row>
    <row r="1409" ht="9.75">
      <c r="F1409" s="99"/>
    </row>
    <row r="1410" ht="9.75">
      <c r="F1410" s="99"/>
    </row>
    <row r="1411" ht="9.75">
      <c r="F1411" s="99"/>
    </row>
    <row r="1412" ht="9.75">
      <c r="F1412" s="99"/>
    </row>
    <row r="1413" ht="9.75">
      <c r="F1413" s="99"/>
    </row>
    <row r="1414" ht="9.75">
      <c r="F1414" s="99"/>
    </row>
    <row r="1415" ht="9.75">
      <c r="F1415" s="99"/>
    </row>
    <row r="1416" ht="9.75">
      <c r="F1416" s="99"/>
    </row>
    <row r="1417" ht="9.75">
      <c r="F1417" s="99"/>
    </row>
    <row r="1418" ht="9.75">
      <c r="F1418" s="99"/>
    </row>
    <row r="1419" ht="9.75">
      <c r="F1419" s="99"/>
    </row>
    <row r="1420" ht="9.75">
      <c r="F1420" s="99"/>
    </row>
    <row r="1421" ht="9.75">
      <c r="F1421" s="99"/>
    </row>
    <row r="1422" ht="9.75">
      <c r="F1422" s="99"/>
    </row>
    <row r="1423" ht="9.75">
      <c r="F1423" s="99"/>
    </row>
    <row r="1424" ht="9.75">
      <c r="F1424" s="99"/>
    </row>
    <row r="1425" ht="9.75">
      <c r="F1425" s="99"/>
    </row>
    <row r="1426" ht="9.75">
      <c r="F1426" s="99"/>
    </row>
    <row r="1427" ht="9.75">
      <c r="F1427" s="99"/>
    </row>
    <row r="1428" ht="9.75">
      <c r="F1428" s="99"/>
    </row>
    <row r="1429" ht="9.75">
      <c r="F1429" s="99"/>
    </row>
    <row r="1430" ht="9.75">
      <c r="F1430" s="99"/>
    </row>
    <row r="1431" ht="9.75">
      <c r="F1431" s="99"/>
    </row>
    <row r="1432" ht="9.75">
      <c r="F1432" s="99"/>
    </row>
    <row r="1433" ht="9.75">
      <c r="F1433" s="99"/>
    </row>
    <row r="1434" ht="9.75">
      <c r="F1434" s="99"/>
    </row>
    <row r="1435" ht="9.75">
      <c r="F1435" s="99"/>
    </row>
    <row r="1436" ht="9.75">
      <c r="F1436" s="99"/>
    </row>
    <row r="1437" ht="9.75">
      <c r="F1437" s="99"/>
    </row>
    <row r="1438" ht="9.75">
      <c r="F1438" s="99"/>
    </row>
    <row r="1439" ht="9.75">
      <c r="F1439" s="99"/>
    </row>
    <row r="1440" ht="9.75">
      <c r="F1440" s="99"/>
    </row>
    <row r="1441" ht="9.75">
      <c r="F1441" s="99"/>
    </row>
    <row r="1442" ht="9.75">
      <c r="F1442" s="99"/>
    </row>
    <row r="1443" ht="9.75">
      <c r="F1443" s="99"/>
    </row>
    <row r="1444" ht="9.75">
      <c r="F1444" s="99"/>
    </row>
    <row r="1445" ht="9.75">
      <c r="F1445" s="99"/>
    </row>
    <row r="1446" ht="9.75">
      <c r="F1446" s="99"/>
    </row>
    <row r="1447" ht="9.75">
      <c r="F1447" s="99"/>
    </row>
    <row r="1448" ht="9.75">
      <c r="F1448" s="99"/>
    </row>
    <row r="1449" ht="9.75">
      <c r="F1449" s="99"/>
    </row>
    <row r="1450" ht="9.75">
      <c r="F1450" s="99"/>
    </row>
    <row r="1451" ht="9.75">
      <c r="F1451" s="99"/>
    </row>
    <row r="1452" ht="9.75">
      <c r="F1452" s="99"/>
    </row>
    <row r="1453" ht="9.75">
      <c r="F1453" s="99"/>
    </row>
    <row r="1454" ht="9.75">
      <c r="F1454" s="99"/>
    </row>
    <row r="1455" ht="9.75">
      <c r="F1455" s="99"/>
    </row>
    <row r="1456" ht="9.75">
      <c r="F1456" s="99"/>
    </row>
    <row r="1457" ht="9.75">
      <c r="F1457" s="99"/>
    </row>
    <row r="1458" ht="9.75">
      <c r="F1458" s="99"/>
    </row>
    <row r="1459" ht="9.75">
      <c r="F1459" s="99"/>
    </row>
    <row r="1460" ht="9.75">
      <c r="F1460" s="99"/>
    </row>
    <row r="1461" ht="9.75">
      <c r="F1461" s="99"/>
    </row>
    <row r="1462" ht="9.75">
      <c r="F1462" s="99"/>
    </row>
    <row r="1463" ht="9.75">
      <c r="F1463" s="99"/>
    </row>
    <row r="1464" ht="9.75">
      <c r="F1464" s="99"/>
    </row>
    <row r="1465" ht="9.75">
      <c r="F1465" s="99"/>
    </row>
    <row r="1466" ht="9.75">
      <c r="F1466" s="99"/>
    </row>
    <row r="1467" ht="9.75">
      <c r="F1467" s="99"/>
    </row>
    <row r="1468" ht="9.75">
      <c r="F1468" s="99"/>
    </row>
    <row r="1469" ht="9.75">
      <c r="F1469" s="99"/>
    </row>
    <row r="1470" ht="9.75">
      <c r="F1470" s="99"/>
    </row>
    <row r="1471" ht="9.75">
      <c r="F1471" s="99"/>
    </row>
    <row r="1472" ht="9.75">
      <c r="F1472" s="99"/>
    </row>
    <row r="1473" ht="9.75">
      <c r="F1473" s="99"/>
    </row>
    <row r="1474" ht="9.75">
      <c r="F1474" s="99"/>
    </row>
    <row r="1475" ht="9.75">
      <c r="F1475" s="99"/>
    </row>
    <row r="1476" ht="9.75">
      <c r="F1476" s="99"/>
    </row>
    <row r="1477" ht="9.75">
      <c r="F1477" s="99"/>
    </row>
    <row r="1478" ht="9.75">
      <c r="F1478" s="99"/>
    </row>
    <row r="1479" ht="9.75">
      <c r="F1479" s="99"/>
    </row>
    <row r="1480" ht="9.75">
      <c r="F1480" s="99"/>
    </row>
    <row r="1481" ht="9.75">
      <c r="F1481" s="99"/>
    </row>
    <row r="1482" ht="9.75">
      <c r="F1482" s="99"/>
    </row>
    <row r="1483" ht="9.75">
      <c r="F1483" s="99"/>
    </row>
    <row r="1484" ht="9.75">
      <c r="F1484" s="99"/>
    </row>
    <row r="1485" ht="9.75">
      <c r="F1485" s="99"/>
    </row>
    <row r="1486" ht="9.75">
      <c r="F1486" s="99"/>
    </row>
    <row r="1487" ht="9.75">
      <c r="F1487" s="99"/>
    </row>
    <row r="1488" ht="9.75">
      <c r="F1488" s="99"/>
    </row>
    <row r="1489" ht="9.75">
      <c r="F1489" s="99"/>
    </row>
    <row r="1490" ht="9.75">
      <c r="F1490" s="99"/>
    </row>
    <row r="1491" ht="9.75">
      <c r="F1491" s="99"/>
    </row>
    <row r="1492" ht="9.75">
      <c r="F1492" s="99"/>
    </row>
    <row r="1493" ht="9.75">
      <c r="F1493" s="99"/>
    </row>
    <row r="1494" ht="9.75">
      <c r="F1494" s="99"/>
    </row>
    <row r="1495" ht="9.75">
      <c r="F1495" s="99"/>
    </row>
    <row r="1496" ht="9.75">
      <c r="F1496" s="99"/>
    </row>
    <row r="1497" ht="9.75">
      <c r="F1497" s="99"/>
    </row>
    <row r="1498" ht="9.75">
      <c r="F1498" s="99"/>
    </row>
    <row r="1499" ht="9.75">
      <c r="F1499" s="99"/>
    </row>
    <row r="1500" ht="9.75">
      <c r="F1500" s="99"/>
    </row>
    <row r="1501" ht="9.75">
      <c r="F1501" s="99"/>
    </row>
    <row r="1502" ht="9.75">
      <c r="F1502" s="99"/>
    </row>
    <row r="1503" ht="9.75">
      <c r="F1503" s="99"/>
    </row>
    <row r="1504" ht="9.75">
      <c r="F1504" s="99"/>
    </row>
    <row r="1505" ht="9.75">
      <c r="F1505" s="99"/>
    </row>
    <row r="1506" ht="9.75">
      <c r="F1506" s="99"/>
    </row>
    <row r="1507" ht="9.75">
      <c r="F1507" s="99"/>
    </row>
    <row r="1508" ht="9.75">
      <c r="F1508" s="99"/>
    </row>
    <row r="1509" ht="9.75">
      <c r="F1509" s="99"/>
    </row>
    <row r="1510" ht="9.75">
      <c r="F1510" s="99"/>
    </row>
    <row r="1511" ht="9.75">
      <c r="F1511" s="99"/>
    </row>
    <row r="1512" ht="9.75">
      <c r="F1512" s="99"/>
    </row>
    <row r="1513" ht="9.75">
      <c r="F1513" s="99"/>
    </row>
    <row r="1514" ht="9.75">
      <c r="F1514" s="99"/>
    </row>
    <row r="1515" ht="9.75">
      <c r="F1515" s="99"/>
    </row>
    <row r="1516" ht="9.75">
      <c r="F1516" s="99"/>
    </row>
    <row r="1517" ht="9.75">
      <c r="F1517" s="99"/>
    </row>
    <row r="1518" ht="9.75">
      <c r="F1518" s="99"/>
    </row>
    <row r="1519" ht="9.75">
      <c r="F1519" s="99"/>
    </row>
    <row r="1520" ht="9.75">
      <c r="F1520" s="99"/>
    </row>
    <row r="1521" ht="9.75">
      <c r="F1521" s="99"/>
    </row>
    <row r="1522" ht="9.75">
      <c r="F1522" s="99"/>
    </row>
    <row r="1523" ht="9.75">
      <c r="F1523" s="99"/>
    </row>
    <row r="1524" ht="9.75">
      <c r="F1524" s="99"/>
    </row>
    <row r="1525" ht="9.75">
      <c r="F1525" s="99"/>
    </row>
    <row r="1526" ht="9.75">
      <c r="F1526" s="99"/>
    </row>
    <row r="1527" ht="9.75">
      <c r="F1527" s="99"/>
    </row>
    <row r="1528" ht="9.75">
      <c r="F1528" s="99"/>
    </row>
    <row r="1529" ht="9.75">
      <c r="F1529" s="99"/>
    </row>
    <row r="1530" ht="9.75">
      <c r="F1530" s="99"/>
    </row>
    <row r="1531" ht="9.75">
      <c r="F1531" s="99"/>
    </row>
    <row r="1532" ht="9.75">
      <c r="F1532" s="99"/>
    </row>
    <row r="1533" ht="9.75">
      <c r="F1533" s="99"/>
    </row>
    <row r="1534" ht="9.75">
      <c r="F1534" s="99"/>
    </row>
    <row r="1535" ht="9.75">
      <c r="F1535" s="99"/>
    </row>
    <row r="1536" ht="9.75">
      <c r="F1536" s="99"/>
    </row>
    <row r="1537" ht="9.75">
      <c r="F1537" s="99"/>
    </row>
    <row r="1538" ht="9.75">
      <c r="F1538" s="99"/>
    </row>
    <row r="1539" ht="9.75">
      <c r="F1539" s="99"/>
    </row>
    <row r="1540" ht="9.75">
      <c r="F1540" s="99"/>
    </row>
    <row r="1541" ht="9.75">
      <c r="F1541" s="99"/>
    </row>
    <row r="1542" ht="9.75">
      <c r="F1542" s="99"/>
    </row>
    <row r="1543" ht="9.75">
      <c r="F1543" s="99"/>
    </row>
    <row r="1544" ht="9.75">
      <c r="F1544" s="99"/>
    </row>
    <row r="1545" ht="9.75">
      <c r="F1545" s="99"/>
    </row>
    <row r="1546" ht="9.75">
      <c r="F1546" s="99"/>
    </row>
    <row r="1547" ht="9.75">
      <c r="F1547" s="99"/>
    </row>
    <row r="1548" ht="9.75">
      <c r="F1548" s="99"/>
    </row>
    <row r="1549" ht="9.75">
      <c r="F1549" s="99"/>
    </row>
    <row r="1550" ht="9.75">
      <c r="F1550" s="99"/>
    </row>
    <row r="1551" ht="9.75">
      <c r="F1551" s="99"/>
    </row>
    <row r="1552" ht="9.75">
      <c r="F1552" s="99"/>
    </row>
    <row r="1553" ht="9.75">
      <c r="F1553" s="99"/>
    </row>
    <row r="1554" ht="9.75">
      <c r="F1554" s="99"/>
    </row>
    <row r="1555" ht="9.75">
      <c r="F1555" s="99"/>
    </row>
    <row r="1556" ht="9.75">
      <c r="F1556" s="99"/>
    </row>
    <row r="1557" ht="9.75">
      <c r="F1557" s="99"/>
    </row>
    <row r="1558" ht="9.75">
      <c r="F1558" s="99"/>
    </row>
    <row r="1559" ht="9.75">
      <c r="F1559" s="99"/>
    </row>
    <row r="1560" ht="9.75">
      <c r="F1560" s="99"/>
    </row>
    <row r="1561" ht="9.75">
      <c r="F1561" s="99"/>
    </row>
    <row r="1562" ht="9.75">
      <c r="F1562" s="99"/>
    </row>
    <row r="1563" ht="9.75">
      <c r="F1563" s="99"/>
    </row>
    <row r="1564" ht="9.75">
      <c r="F1564" s="99"/>
    </row>
    <row r="1565" ht="9.75">
      <c r="F1565" s="99"/>
    </row>
    <row r="1566" ht="9.75">
      <c r="F1566" s="99"/>
    </row>
    <row r="1567" ht="9.75">
      <c r="F1567" s="99"/>
    </row>
    <row r="1568" ht="9.75">
      <c r="F1568" s="99"/>
    </row>
    <row r="1569" ht="9.75">
      <c r="F1569" s="99"/>
    </row>
    <row r="1570" ht="9.75">
      <c r="F1570" s="99"/>
    </row>
    <row r="1571" ht="9.75">
      <c r="F1571" s="99"/>
    </row>
    <row r="1572" ht="9.75">
      <c r="F1572" s="99"/>
    </row>
    <row r="1573" ht="9.75">
      <c r="F1573" s="99"/>
    </row>
    <row r="1574" ht="9.75">
      <c r="F1574" s="99"/>
    </row>
    <row r="1575" ht="9.75">
      <c r="F1575" s="99"/>
    </row>
    <row r="1576" ht="9.75">
      <c r="F1576" s="99"/>
    </row>
    <row r="1577" ht="9.75">
      <c r="F1577" s="99"/>
    </row>
    <row r="1578" ht="9.75">
      <c r="F1578" s="99"/>
    </row>
    <row r="1579" ht="9.75">
      <c r="F1579" s="99"/>
    </row>
    <row r="1580" ht="9.75">
      <c r="F1580" s="99"/>
    </row>
    <row r="1581" ht="9.75">
      <c r="F1581" s="99"/>
    </row>
    <row r="1582" ht="9.75">
      <c r="F1582" s="99"/>
    </row>
    <row r="1583" ht="9.75">
      <c r="F1583" s="99"/>
    </row>
    <row r="1584" ht="9.75">
      <c r="F1584" s="99"/>
    </row>
    <row r="1585" ht="9.75">
      <c r="F1585" s="99"/>
    </row>
    <row r="1586" ht="9.75">
      <c r="F1586" s="99"/>
    </row>
    <row r="1587" ht="9.75">
      <c r="F1587" s="99"/>
    </row>
    <row r="1588" ht="9.75">
      <c r="F1588" s="99"/>
    </row>
    <row r="1589" ht="9.75">
      <c r="F1589" s="99"/>
    </row>
    <row r="1590" ht="9.75">
      <c r="F1590" s="99"/>
    </row>
    <row r="1591" ht="9.75">
      <c r="F1591" s="99"/>
    </row>
    <row r="1592" ht="9.75">
      <c r="F1592" s="99"/>
    </row>
    <row r="1593" ht="9.75">
      <c r="F1593" s="99"/>
    </row>
    <row r="1594" ht="9.75">
      <c r="F1594" s="99"/>
    </row>
    <row r="1595" ht="9.75">
      <c r="F1595" s="99"/>
    </row>
    <row r="1596" ht="9.75">
      <c r="F1596" s="99"/>
    </row>
    <row r="1597" ht="9.75">
      <c r="F1597" s="99"/>
    </row>
    <row r="1598" ht="9.75">
      <c r="F1598" s="99"/>
    </row>
    <row r="1599" ht="9.75">
      <c r="F1599" s="99"/>
    </row>
    <row r="1600" ht="9.75">
      <c r="F1600" s="99"/>
    </row>
    <row r="1601" ht="9.75">
      <c r="F1601" s="99"/>
    </row>
    <row r="1602" ht="9.75">
      <c r="F1602" s="99"/>
    </row>
    <row r="1603" ht="9.75">
      <c r="F1603" s="99"/>
    </row>
    <row r="1604" ht="9.75">
      <c r="F1604" s="99"/>
    </row>
    <row r="1605" ht="9.75">
      <c r="F1605" s="99"/>
    </row>
    <row r="1606" ht="9.75">
      <c r="F1606" s="99"/>
    </row>
    <row r="1607" ht="9.75">
      <c r="F1607" s="99"/>
    </row>
    <row r="1608" ht="9.75">
      <c r="F1608" s="99"/>
    </row>
    <row r="1609" ht="9.75">
      <c r="F1609" s="99"/>
    </row>
    <row r="1610" ht="9.75">
      <c r="F1610" s="99"/>
    </row>
    <row r="1611" ht="9.75">
      <c r="F1611" s="99"/>
    </row>
    <row r="1612" ht="9.75">
      <c r="F1612" s="99"/>
    </row>
    <row r="1613" ht="9.75">
      <c r="F1613" s="99"/>
    </row>
    <row r="1614" ht="9.75">
      <c r="F1614" s="99"/>
    </row>
    <row r="1615" ht="9.75">
      <c r="F1615" s="99"/>
    </row>
    <row r="1616" ht="9.75">
      <c r="F1616" s="99"/>
    </row>
    <row r="1617" ht="9.75">
      <c r="F1617" s="99"/>
    </row>
    <row r="1618" ht="9.75">
      <c r="F1618" s="99"/>
    </row>
    <row r="1619" ht="9.75">
      <c r="F1619" s="99"/>
    </row>
    <row r="1620" ht="9.75">
      <c r="F1620" s="99"/>
    </row>
    <row r="1621" ht="9.75">
      <c r="F1621" s="99"/>
    </row>
    <row r="1622" ht="9.75">
      <c r="F1622" s="99"/>
    </row>
    <row r="1623" ht="9.75">
      <c r="F1623" s="99"/>
    </row>
    <row r="1624" ht="9.75">
      <c r="F1624" s="99"/>
    </row>
    <row r="1625" ht="9.75">
      <c r="F1625" s="99"/>
    </row>
    <row r="1626" ht="9.75">
      <c r="F1626" s="99"/>
    </row>
    <row r="1627" ht="9.75">
      <c r="F1627" s="99"/>
    </row>
    <row r="1628" ht="9.75">
      <c r="F1628" s="99"/>
    </row>
    <row r="1629" ht="9.75">
      <c r="F1629" s="99"/>
    </row>
    <row r="1630" ht="9.75">
      <c r="F1630" s="99"/>
    </row>
    <row r="1631" ht="9.75">
      <c r="F1631" s="99"/>
    </row>
    <row r="1632" ht="9.75">
      <c r="F1632" s="99"/>
    </row>
    <row r="1633" ht="9.75">
      <c r="F1633" s="99"/>
    </row>
    <row r="1634" ht="9.75">
      <c r="F1634" s="99"/>
    </row>
    <row r="1635" ht="9.75">
      <c r="F1635" s="99"/>
    </row>
    <row r="1636" ht="9.75">
      <c r="F1636" s="99"/>
    </row>
    <row r="1637" ht="9.75">
      <c r="F1637" s="99"/>
    </row>
    <row r="1638" ht="9.75">
      <c r="F1638" s="99"/>
    </row>
    <row r="1639" ht="9.75">
      <c r="F1639" s="99"/>
    </row>
    <row r="1640" ht="9.75">
      <c r="F1640" s="99"/>
    </row>
    <row r="1641" ht="9.75">
      <c r="F1641" s="99"/>
    </row>
    <row r="1642" ht="9.75">
      <c r="F1642" s="99"/>
    </row>
    <row r="1643" ht="9.75">
      <c r="F1643" s="99"/>
    </row>
    <row r="1644" ht="9.75">
      <c r="F1644" s="99"/>
    </row>
    <row r="1645" ht="9.75">
      <c r="F1645" s="99"/>
    </row>
    <row r="1646" ht="9.75">
      <c r="F1646" s="99"/>
    </row>
    <row r="1647" ht="9.75">
      <c r="F1647" s="99"/>
    </row>
    <row r="1648" ht="9.75">
      <c r="F1648" s="99"/>
    </row>
    <row r="1649" ht="9.75">
      <c r="F1649" s="99"/>
    </row>
    <row r="1650" ht="9.75">
      <c r="F1650" s="99"/>
    </row>
    <row r="1651" ht="9.75">
      <c r="F1651" s="99"/>
    </row>
    <row r="1652" ht="9.75">
      <c r="F1652" s="99"/>
    </row>
    <row r="1653" ht="9.75">
      <c r="F1653" s="99"/>
    </row>
    <row r="1654" ht="9.75">
      <c r="F1654" s="99"/>
    </row>
    <row r="1655" ht="9.75">
      <c r="F1655" s="99"/>
    </row>
    <row r="1656" ht="9.75">
      <c r="F1656" s="99"/>
    </row>
    <row r="1657" ht="9.75">
      <c r="F1657" s="99"/>
    </row>
    <row r="1658" ht="9.75">
      <c r="F1658" s="99"/>
    </row>
    <row r="1659" ht="9.75">
      <c r="F1659" s="99"/>
    </row>
    <row r="1660" ht="9.75">
      <c r="F1660" s="99"/>
    </row>
    <row r="1661" ht="9.75">
      <c r="F1661" s="99"/>
    </row>
    <row r="1662" ht="9.75">
      <c r="F1662" s="99"/>
    </row>
    <row r="1663" ht="9.75">
      <c r="F1663" s="99"/>
    </row>
    <row r="1664" ht="9.75">
      <c r="F1664" s="99"/>
    </row>
    <row r="1665" ht="9.75">
      <c r="F1665" s="99"/>
    </row>
    <row r="1666" ht="9.75">
      <c r="F1666" s="99"/>
    </row>
    <row r="1667" ht="9.75">
      <c r="F1667" s="99"/>
    </row>
    <row r="1668" ht="9.75">
      <c r="F1668" s="99"/>
    </row>
    <row r="1669" ht="9.75">
      <c r="F1669" s="99"/>
    </row>
    <row r="1670" ht="9.75">
      <c r="F1670" s="99"/>
    </row>
    <row r="1671" ht="9.75">
      <c r="F1671" s="99"/>
    </row>
    <row r="1672" ht="9.75">
      <c r="F1672" s="99"/>
    </row>
    <row r="1673" ht="9.75">
      <c r="F1673" s="99"/>
    </row>
    <row r="1674" ht="9.75">
      <c r="F1674" s="99"/>
    </row>
    <row r="1675" ht="9.75">
      <c r="F1675" s="99"/>
    </row>
    <row r="1676" ht="9.75">
      <c r="F1676" s="99"/>
    </row>
    <row r="1677" ht="9.75">
      <c r="F1677" s="99"/>
    </row>
    <row r="1678" ht="9.75">
      <c r="F1678" s="99"/>
    </row>
    <row r="1679" ht="9.75">
      <c r="F1679" s="99"/>
    </row>
    <row r="1680" ht="9.75">
      <c r="F1680" s="99"/>
    </row>
    <row r="1681" ht="9.75">
      <c r="F1681" s="99"/>
    </row>
    <row r="1682" ht="9.75">
      <c r="F1682" s="99"/>
    </row>
    <row r="1683" ht="9.75">
      <c r="F1683" s="99"/>
    </row>
    <row r="1684" ht="9.75">
      <c r="F1684" s="99"/>
    </row>
    <row r="1685" ht="9.75">
      <c r="F1685" s="99"/>
    </row>
    <row r="1686" ht="9.75">
      <c r="F1686" s="99"/>
    </row>
    <row r="1687" ht="9.75">
      <c r="F1687" s="99"/>
    </row>
    <row r="1688" ht="9.75">
      <c r="F1688" s="99"/>
    </row>
    <row r="1689" ht="9.75">
      <c r="F1689" s="99"/>
    </row>
    <row r="1690" ht="9.75">
      <c r="F1690" s="99"/>
    </row>
    <row r="1691" ht="9.75">
      <c r="F1691" s="99"/>
    </row>
    <row r="1692" ht="9.75">
      <c r="F1692" s="99"/>
    </row>
    <row r="1693" ht="9.75">
      <c r="F1693" s="99"/>
    </row>
    <row r="1694" ht="9.75">
      <c r="F1694" s="99"/>
    </row>
    <row r="1695" ht="9.75">
      <c r="F1695" s="99"/>
    </row>
    <row r="1696" ht="9.75">
      <c r="F1696" s="99"/>
    </row>
    <row r="1697" ht="9.75">
      <c r="F1697" s="99"/>
    </row>
    <row r="1698" ht="9.75">
      <c r="F1698" s="99"/>
    </row>
    <row r="1699" ht="9.75">
      <c r="F1699" s="99"/>
    </row>
    <row r="1700" ht="9.75">
      <c r="F1700" s="99"/>
    </row>
    <row r="1701" ht="9.75">
      <c r="F1701" s="99"/>
    </row>
    <row r="1702" ht="9.75">
      <c r="F1702" s="99"/>
    </row>
    <row r="1703" ht="9.75">
      <c r="F1703" s="99"/>
    </row>
    <row r="1704" ht="9.75">
      <c r="F1704" s="99"/>
    </row>
    <row r="1705" ht="9.75">
      <c r="F1705" s="99"/>
    </row>
    <row r="1706" ht="9.75">
      <c r="F1706" s="99"/>
    </row>
    <row r="1707" ht="9.75">
      <c r="F1707" s="99"/>
    </row>
    <row r="1708" ht="9.75">
      <c r="F1708" s="99"/>
    </row>
    <row r="1709" ht="9.75">
      <c r="F1709" s="99"/>
    </row>
    <row r="1710" ht="9.75">
      <c r="F1710" s="99"/>
    </row>
    <row r="1711" ht="9.75">
      <c r="F1711" s="99"/>
    </row>
    <row r="1712" ht="9.75">
      <c r="F1712" s="99"/>
    </row>
    <row r="1713" ht="9.75">
      <c r="F1713" s="99"/>
    </row>
    <row r="1714" ht="9.75">
      <c r="F1714" s="99"/>
    </row>
    <row r="1715" ht="9.75">
      <c r="F1715" s="99"/>
    </row>
    <row r="1716" ht="9.75">
      <c r="F1716" s="99"/>
    </row>
    <row r="1717" ht="9.75">
      <c r="F1717" s="99"/>
    </row>
    <row r="1718" ht="9.75">
      <c r="F1718" s="99"/>
    </row>
    <row r="1719" ht="9.75">
      <c r="F1719" s="99"/>
    </row>
    <row r="1720" ht="9.75">
      <c r="F1720" s="99"/>
    </row>
    <row r="1721" ht="9.75">
      <c r="F1721" s="99"/>
    </row>
    <row r="1722" ht="9.75">
      <c r="F1722" s="99"/>
    </row>
    <row r="1723" ht="9.75">
      <c r="F1723" s="99"/>
    </row>
    <row r="1724" ht="9.75">
      <c r="F1724" s="99"/>
    </row>
    <row r="1725" ht="9.75">
      <c r="F1725" s="99"/>
    </row>
    <row r="1726" ht="9.75">
      <c r="F1726" s="99"/>
    </row>
    <row r="1727" ht="9.75">
      <c r="F1727" s="99"/>
    </row>
    <row r="1728" ht="9.75">
      <c r="F1728" s="99"/>
    </row>
    <row r="1729" ht="9.75">
      <c r="F1729" s="99"/>
    </row>
    <row r="1730" ht="9.75">
      <c r="F1730" s="99"/>
    </row>
    <row r="1731" ht="9.75">
      <c r="F1731" s="99"/>
    </row>
    <row r="1732" ht="9.75">
      <c r="F1732" s="99"/>
    </row>
    <row r="1733" ht="9.75">
      <c r="F1733" s="99"/>
    </row>
    <row r="1734" ht="9.75">
      <c r="F1734" s="99"/>
    </row>
    <row r="1735" ht="9.75">
      <c r="F1735" s="99"/>
    </row>
    <row r="1736" ht="9.75">
      <c r="F1736" s="99"/>
    </row>
    <row r="1737" ht="9.75">
      <c r="F1737" s="99"/>
    </row>
    <row r="1738" ht="9.75">
      <c r="F1738" s="99"/>
    </row>
    <row r="1739" ht="9.75">
      <c r="F1739" s="99"/>
    </row>
    <row r="1740" ht="9.75">
      <c r="F1740" s="99"/>
    </row>
    <row r="1741" ht="9.75">
      <c r="F1741" s="99"/>
    </row>
    <row r="1742" ht="9.75">
      <c r="F1742" s="99"/>
    </row>
    <row r="1743" ht="9.75">
      <c r="F1743" s="99"/>
    </row>
    <row r="1744" ht="9.75">
      <c r="F1744" s="99"/>
    </row>
    <row r="1745" ht="9.75">
      <c r="F1745" s="99"/>
    </row>
    <row r="1746" ht="9.75">
      <c r="F1746" s="99"/>
    </row>
    <row r="1747" ht="9.75">
      <c r="F1747" s="99"/>
    </row>
    <row r="1748" ht="9.75">
      <c r="F1748" s="99"/>
    </row>
    <row r="1749" ht="9.75">
      <c r="F1749" s="99"/>
    </row>
    <row r="1750" ht="9.75">
      <c r="F1750" s="99"/>
    </row>
    <row r="1751" ht="9.75">
      <c r="F1751" s="99"/>
    </row>
    <row r="1752" ht="9.75">
      <c r="F1752" s="99"/>
    </row>
    <row r="1753" ht="9.75">
      <c r="F1753" s="99"/>
    </row>
    <row r="1754" ht="9.75">
      <c r="F1754" s="99"/>
    </row>
    <row r="1755" ht="9.75">
      <c r="F1755" s="99"/>
    </row>
    <row r="1756" ht="9.75">
      <c r="F1756" s="99"/>
    </row>
    <row r="1757" ht="9.75">
      <c r="F1757" s="99"/>
    </row>
    <row r="1758" ht="9.75">
      <c r="F1758" s="99"/>
    </row>
    <row r="1759" ht="9.75">
      <c r="F1759" s="99"/>
    </row>
    <row r="1760" ht="9.75">
      <c r="F1760" s="99"/>
    </row>
    <row r="1761" ht="9.75">
      <c r="F1761" s="99"/>
    </row>
    <row r="1762" ht="9.75">
      <c r="F1762" s="99"/>
    </row>
    <row r="1763" ht="9.75">
      <c r="F1763" s="99"/>
    </row>
    <row r="1764" ht="9.75">
      <c r="F1764" s="99"/>
    </row>
    <row r="1765" ht="9.75">
      <c r="F1765" s="99"/>
    </row>
    <row r="1766" ht="9.75">
      <c r="F1766" s="99"/>
    </row>
    <row r="1767" ht="9.75">
      <c r="F1767" s="99"/>
    </row>
    <row r="1768" ht="9.75">
      <c r="F1768" s="99"/>
    </row>
    <row r="1769" ht="9.75">
      <c r="F1769" s="99"/>
    </row>
    <row r="1770" ht="9.75">
      <c r="F1770" s="99"/>
    </row>
    <row r="1771" ht="9.75">
      <c r="F1771" s="99"/>
    </row>
    <row r="1772" ht="9.75">
      <c r="F1772" s="99"/>
    </row>
    <row r="1773" ht="9.75">
      <c r="F1773" s="99"/>
    </row>
    <row r="1774" ht="9.75">
      <c r="F1774" s="99"/>
    </row>
    <row r="1775" ht="9.75">
      <c r="F1775" s="99"/>
    </row>
    <row r="1776" ht="9.75">
      <c r="F1776" s="99"/>
    </row>
    <row r="1777" ht="9.75">
      <c r="F1777" s="99"/>
    </row>
    <row r="1778" ht="9.75">
      <c r="F1778" s="99"/>
    </row>
    <row r="1779" ht="9.75">
      <c r="F1779" s="99"/>
    </row>
    <row r="1780" ht="9.75">
      <c r="F1780" s="99"/>
    </row>
    <row r="1781" ht="9.75">
      <c r="F1781" s="99"/>
    </row>
    <row r="1782" ht="9.75">
      <c r="F1782" s="99"/>
    </row>
    <row r="1783" ht="9.75">
      <c r="F1783" s="99"/>
    </row>
    <row r="1784" ht="9.75">
      <c r="F1784" s="99"/>
    </row>
    <row r="1785" ht="9.75">
      <c r="F1785" s="99"/>
    </row>
    <row r="1786" ht="9.75">
      <c r="F1786" s="99"/>
    </row>
    <row r="1787" ht="9.75">
      <c r="F1787" s="99"/>
    </row>
    <row r="1788" ht="9.75">
      <c r="F1788" s="99"/>
    </row>
    <row r="1789" ht="9.75">
      <c r="F1789" s="99"/>
    </row>
    <row r="1790" ht="9.75">
      <c r="F1790" s="99"/>
    </row>
    <row r="1791" ht="9.75">
      <c r="F1791" s="99"/>
    </row>
    <row r="1792" ht="9.75">
      <c r="F1792" s="99"/>
    </row>
    <row r="1793" ht="9.75">
      <c r="F1793" s="99"/>
    </row>
    <row r="1794" ht="9.75">
      <c r="F1794" s="99"/>
    </row>
    <row r="1795" ht="9.75">
      <c r="F1795" s="99"/>
    </row>
    <row r="1796" ht="9.75">
      <c r="F1796" s="99"/>
    </row>
    <row r="1797" ht="9.75">
      <c r="F1797" s="99"/>
    </row>
    <row r="1798" ht="9.75">
      <c r="F1798" s="99"/>
    </row>
    <row r="1799" ht="9.75">
      <c r="F1799" s="99"/>
    </row>
    <row r="1800" ht="9.75">
      <c r="F1800" s="99"/>
    </row>
    <row r="1801" ht="9.75">
      <c r="F1801" s="99"/>
    </row>
    <row r="1802" ht="9.75">
      <c r="F1802" s="99"/>
    </row>
    <row r="1803" ht="9.75">
      <c r="F1803" s="99"/>
    </row>
    <row r="1804" ht="9.75">
      <c r="F1804" s="99"/>
    </row>
    <row r="1805" ht="9.75">
      <c r="F1805" s="99"/>
    </row>
    <row r="1806" ht="9.75">
      <c r="F1806" s="99"/>
    </row>
    <row r="1807" ht="9.75">
      <c r="F1807" s="99"/>
    </row>
    <row r="1808" ht="9.75">
      <c r="F1808" s="99"/>
    </row>
    <row r="1809" ht="9.75">
      <c r="F1809" s="99"/>
    </row>
    <row r="1810" ht="9.75">
      <c r="F1810" s="99"/>
    </row>
    <row r="1811" ht="9.75">
      <c r="F1811" s="99"/>
    </row>
    <row r="1812" ht="9.75">
      <c r="F1812" s="99"/>
    </row>
    <row r="1813" ht="9.75">
      <c r="F1813" s="99"/>
    </row>
    <row r="1814" ht="9.75">
      <c r="F1814" s="99"/>
    </row>
    <row r="1815" ht="9.75">
      <c r="F1815" s="99"/>
    </row>
    <row r="1816" ht="9.75">
      <c r="F1816" s="99"/>
    </row>
    <row r="1817" ht="9.75">
      <c r="F1817" s="99"/>
    </row>
    <row r="1818" ht="9.75">
      <c r="F1818" s="99"/>
    </row>
    <row r="1819" ht="9.75">
      <c r="F1819" s="99"/>
    </row>
    <row r="1820" ht="9.75">
      <c r="F1820" s="99"/>
    </row>
    <row r="1821" ht="9.75">
      <c r="F1821" s="99"/>
    </row>
    <row r="1822" ht="9.75">
      <c r="F1822" s="99"/>
    </row>
    <row r="1823" ht="9.75">
      <c r="F1823" s="99"/>
    </row>
    <row r="1824" ht="9.75">
      <c r="F1824" s="99"/>
    </row>
    <row r="1825" ht="9.75">
      <c r="F1825" s="99"/>
    </row>
    <row r="1826" ht="9.75">
      <c r="F1826" s="99"/>
    </row>
    <row r="1827" ht="9.75">
      <c r="F1827" s="99"/>
    </row>
    <row r="1828" ht="9.75">
      <c r="F1828" s="99"/>
    </row>
    <row r="1829" ht="9.75">
      <c r="F1829" s="99"/>
    </row>
    <row r="1830" ht="9.75">
      <c r="F1830" s="99"/>
    </row>
    <row r="1831" ht="9.75">
      <c r="F1831" s="99"/>
    </row>
    <row r="1832" ht="9.75">
      <c r="F1832" s="99"/>
    </row>
    <row r="1833" ht="9.75">
      <c r="F1833" s="99"/>
    </row>
    <row r="1834" ht="9.75">
      <c r="F1834" s="99"/>
    </row>
    <row r="1835" ht="9.75">
      <c r="F1835" s="99"/>
    </row>
    <row r="1836" ht="9.75">
      <c r="F1836" s="99"/>
    </row>
    <row r="1837" ht="9.75">
      <c r="F1837" s="99"/>
    </row>
    <row r="1838" ht="9.75">
      <c r="F1838" s="99"/>
    </row>
    <row r="1839" ht="9.75">
      <c r="F1839" s="99"/>
    </row>
    <row r="1840" ht="9.75">
      <c r="F1840" s="99"/>
    </row>
    <row r="1841" ht="9.75">
      <c r="F1841" s="99"/>
    </row>
    <row r="1842" ht="9.75">
      <c r="F1842" s="99"/>
    </row>
    <row r="1843" ht="9.75">
      <c r="F1843" s="99"/>
    </row>
    <row r="1844" ht="9.75">
      <c r="F1844" s="99"/>
    </row>
    <row r="1845" ht="9.75">
      <c r="F1845" s="99"/>
    </row>
    <row r="1846" ht="9.75">
      <c r="F1846" s="99"/>
    </row>
    <row r="1847" ht="9.75">
      <c r="F1847" s="99"/>
    </row>
    <row r="1848" ht="9.75">
      <c r="F1848" s="99"/>
    </row>
    <row r="1849" ht="9.75">
      <c r="F1849" s="99"/>
    </row>
    <row r="1850" ht="9.75">
      <c r="F1850" s="99"/>
    </row>
    <row r="1851" ht="9.75">
      <c r="F1851" s="99"/>
    </row>
    <row r="1852" ht="9.75">
      <c r="F1852" s="99"/>
    </row>
    <row r="1853" ht="9.75">
      <c r="F1853" s="99"/>
    </row>
    <row r="1854" ht="9.75">
      <c r="F1854" s="99"/>
    </row>
    <row r="1855" ht="9.75">
      <c r="F1855" s="99"/>
    </row>
    <row r="1856" ht="9.75">
      <c r="F1856" s="99"/>
    </row>
    <row r="1857" ht="9.75">
      <c r="F1857" s="99"/>
    </row>
    <row r="1858" ht="9.75">
      <c r="F1858" s="99"/>
    </row>
    <row r="1859" ht="9.75">
      <c r="F1859" s="99"/>
    </row>
    <row r="1860" ht="9.75">
      <c r="F1860" s="99"/>
    </row>
    <row r="1861" ht="9.75">
      <c r="F1861" s="99"/>
    </row>
    <row r="1862" ht="9.75">
      <c r="F1862" s="99"/>
    </row>
    <row r="1863" ht="9.75">
      <c r="F1863" s="99"/>
    </row>
    <row r="1864" ht="9.75">
      <c r="F1864" s="99"/>
    </row>
    <row r="1865" ht="9.75">
      <c r="F1865" s="99"/>
    </row>
    <row r="1866" ht="9.75">
      <c r="F1866" s="99"/>
    </row>
    <row r="1867" ht="9.75">
      <c r="F1867" s="99"/>
    </row>
    <row r="1868" ht="9.75">
      <c r="F1868" s="99"/>
    </row>
    <row r="1869" ht="9.75">
      <c r="F1869" s="99"/>
    </row>
    <row r="1870" ht="9.75">
      <c r="F1870" s="99"/>
    </row>
    <row r="1871" ht="9.75">
      <c r="F1871" s="99"/>
    </row>
    <row r="1872" ht="9.75">
      <c r="F1872" s="99"/>
    </row>
    <row r="1873" ht="9.75">
      <c r="F1873" s="99"/>
    </row>
    <row r="1874" ht="9.75">
      <c r="F1874" s="99"/>
    </row>
    <row r="1875" ht="9.75">
      <c r="F1875" s="99"/>
    </row>
    <row r="1876" ht="9.75">
      <c r="F1876" s="99"/>
    </row>
    <row r="1877" ht="9.75">
      <c r="F1877" s="99"/>
    </row>
    <row r="1878" ht="9.75">
      <c r="F1878" s="99"/>
    </row>
    <row r="1879" ht="9.75">
      <c r="F1879" s="99"/>
    </row>
    <row r="1880" ht="9.75">
      <c r="F1880" s="99"/>
    </row>
    <row r="1881" ht="9.75">
      <c r="F1881" s="99"/>
    </row>
    <row r="1882" ht="9.75">
      <c r="F1882" s="99"/>
    </row>
    <row r="1883" ht="9.75">
      <c r="F1883" s="99"/>
    </row>
    <row r="1884" ht="9.75">
      <c r="F1884" s="99"/>
    </row>
    <row r="1885" ht="9.75">
      <c r="F1885" s="99"/>
    </row>
    <row r="1886" ht="9.75">
      <c r="F1886" s="99"/>
    </row>
    <row r="1887" ht="9.75">
      <c r="F1887" s="99"/>
    </row>
    <row r="1888" ht="9.75">
      <c r="F1888" s="99"/>
    </row>
    <row r="1889" ht="9.75">
      <c r="F1889" s="99"/>
    </row>
    <row r="1890" ht="9.75">
      <c r="F1890" s="99"/>
    </row>
    <row r="1891" ht="9.75">
      <c r="F1891" s="99"/>
    </row>
    <row r="1892" ht="9.75">
      <c r="F1892" s="99"/>
    </row>
    <row r="1893" ht="9.75">
      <c r="F1893" s="99"/>
    </row>
    <row r="1894" ht="9.75">
      <c r="F1894" s="99"/>
    </row>
    <row r="1895" ht="9.75">
      <c r="F1895" s="99"/>
    </row>
    <row r="1896" ht="9.75">
      <c r="F1896" s="99"/>
    </row>
    <row r="1897" ht="9.75">
      <c r="F1897" s="99"/>
    </row>
    <row r="1898" ht="9.75">
      <c r="F1898" s="99"/>
    </row>
    <row r="1899" ht="9.75">
      <c r="F1899" s="99"/>
    </row>
    <row r="1900" ht="9.75">
      <c r="F1900" s="99"/>
    </row>
    <row r="1901" ht="9.75">
      <c r="F1901" s="99"/>
    </row>
    <row r="1902" ht="9.75">
      <c r="F1902" s="99"/>
    </row>
    <row r="1903" ht="9.75">
      <c r="F1903" s="99"/>
    </row>
    <row r="1904" ht="9.75">
      <c r="F1904" s="99"/>
    </row>
    <row r="1905" ht="9.75">
      <c r="F1905" s="99"/>
    </row>
    <row r="1906" ht="9.75">
      <c r="F1906" s="99"/>
    </row>
    <row r="1907" ht="9.75">
      <c r="F1907" s="99"/>
    </row>
    <row r="1908" ht="9.75">
      <c r="F1908" s="99"/>
    </row>
    <row r="1909" ht="9.75">
      <c r="F1909" s="99"/>
    </row>
    <row r="1910" ht="9.75">
      <c r="F1910" s="99"/>
    </row>
    <row r="1911" ht="9.75">
      <c r="F1911" s="99"/>
    </row>
    <row r="1912" ht="9.75">
      <c r="F1912" s="99"/>
    </row>
    <row r="1913" ht="9.75">
      <c r="F1913" s="99"/>
    </row>
    <row r="1914" ht="9.75">
      <c r="F1914" s="99"/>
    </row>
    <row r="1915" ht="9.75">
      <c r="F1915" s="99"/>
    </row>
    <row r="1916" ht="9.75">
      <c r="F1916" s="99"/>
    </row>
    <row r="1917" ht="9.75">
      <c r="F1917" s="99"/>
    </row>
    <row r="1918" ht="9.75">
      <c r="F1918" s="99"/>
    </row>
    <row r="1919" ht="9.75">
      <c r="F1919" s="99"/>
    </row>
    <row r="1920" ht="9.75">
      <c r="F1920" s="99"/>
    </row>
    <row r="1921" ht="9.75">
      <c r="F1921" s="99"/>
    </row>
    <row r="1922" ht="9.75">
      <c r="F1922" s="99"/>
    </row>
    <row r="1923" ht="9.75">
      <c r="F1923" s="99"/>
    </row>
    <row r="1924" ht="9.75">
      <c r="F1924" s="99"/>
    </row>
    <row r="1925" ht="9.75">
      <c r="F1925" s="99"/>
    </row>
    <row r="1926" ht="9.75">
      <c r="F1926" s="99"/>
    </row>
    <row r="1927" ht="9.75">
      <c r="F1927" s="99"/>
    </row>
    <row r="1928" ht="9.75">
      <c r="F1928" s="99"/>
    </row>
    <row r="1929" ht="9.75">
      <c r="F1929" s="99"/>
    </row>
    <row r="1930" ht="9.75">
      <c r="F1930" s="99"/>
    </row>
    <row r="1931" ht="9.75">
      <c r="F1931" s="99"/>
    </row>
    <row r="1932" ht="9.75">
      <c r="F1932" s="99"/>
    </row>
    <row r="1933" ht="9.75">
      <c r="F1933" s="99"/>
    </row>
    <row r="1934" ht="9.75">
      <c r="F1934" s="99"/>
    </row>
    <row r="1935" ht="9.75">
      <c r="F1935" s="99"/>
    </row>
    <row r="1936" ht="9.75">
      <c r="F1936" s="99"/>
    </row>
    <row r="1937" ht="9.75">
      <c r="F1937" s="99"/>
    </row>
    <row r="1938" ht="9.75">
      <c r="F1938" s="99"/>
    </row>
    <row r="1939" ht="9.75">
      <c r="F1939" s="99"/>
    </row>
    <row r="1940" ht="9.75">
      <c r="F1940" s="99"/>
    </row>
    <row r="1941" ht="9.75">
      <c r="F1941" s="99"/>
    </row>
    <row r="1942" ht="9.75">
      <c r="F1942" s="99"/>
    </row>
    <row r="1943" ht="9.75">
      <c r="F1943" s="99"/>
    </row>
    <row r="1944" ht="9.75">
      <c r="F1944" s="99"/>
    </row>
    <row r="1945" ht="9.75">
      <c r="F1945" s="99"/>
    </row>
    <row r="1946" ht="9.75">
      <c r="F1946" s="99"/>
    </row>
    <row r="1947" ht="9.75">
      <c r="F1947" s="99"/>
    </row>
    <row r="1948" ht="9.75">
      <c r="F1948" s="99"/>
    </row>
    <row r="1949" ht="9.75">
      <c r="F1949" s="99"/>
    </row>
    <row r="1950" ht="9.75">
      <c r="F1950" s="99"/>
    </row>
    <row r="1951" ht="9.75">
      <c r="F1951" s="99"/>
    </row>
    <row r="1952" ht="9.75">
      <c r="F1952" s="99"/>
    </row>
    <row r="1953" ht="9.75">
      <c r="F1953" s="99"/>
    </row>
    <row r="1954" ht="9.75">
      <c r="F1954" s="99"/>
    </row>
    <row r="1955" ht="9.75">
      <c r="F1955" s="99"/>
    </row>
    <row r="1956" ht="9.75">
      <c r="F1956" s="99"/>
    </row>
    <row r="1957" ht="9.75">
      <c r="F1957" s="99"/>
    </row>
    <row r="1958" ht="9.75">
      <c r="F1958" s="99"/>
    </row>
    <row r="1959" ht="9.75">
      <c r="F1959" s="99"/>
    </row>
    <row r="1960" ht="9.75">
      <c r="F1960" s="99"/>
    </row>
    <row r="1961" ht="9.75">
      <c r="F1961" s="99"/>
    </row>
    <row r="1962" ht="9.75">
      <c r="F1962" s="99"/>
    </row>
    <row r="1963" ht="9.75">
      <c r="F1963" s="99"/>
    </row>
    <row r="1964" ht="9.75">
      <c r="F1964" s="99"/>
    </row>
    <row r="1965" ht="9.75">
      <c r="F1965" s="99"/>
    </row>
    <row r="1966" ht="9.75">
      <c r="F1966" s="99"/>
    </row>
    <row r="1967" ht="9.75">
      <c r="F1967" s="99"/>
    </row>
    <row r="1968" ht="9.75">
      <c r="F1968" s="99"/>
    </row>
    <row r="1969" ht="9.75">
      <c r="F1969" s="99"/>
    </row>
    <row r="1970" ht="9.75">
      <c r="F1970" s="99"/>
    </row>
    <row r="1971" ht="9.75">
      <c r="F1971" s="99"/>
    </row>
    <row r="1972" ht="9.75">
      <c r="F1972" s="99"/>
    </row>
    <row r="1973" ht="9.75">
      <c r="F1973" s="99"/>
    </row>
    <row r="1974" ht="9.75">
      <c r="F1974" s="99"/>
    </row>
    <row r="1975" ht="9.75">
      <c r="F1975" s="99"/>
    </row>
    <row r="1976" ht="9.75">
      <c r="F1976" s="99"/>
    </row>
    <row r="1977" ht="9.75">
      <c r="F1977" s="99"/>
    </row>
    <row r="1978" ht="9.75">
      <c r="F1978" s="99"/>
    </row>
    <row r="1979" ht="9.75">
      <c r="F1979" s="99"/>
    </row>
    <row r="1980" ht="9.75">
      <c r="F1980" s="99"/>
    </row>
    <row r="1981" ht="9.75">
      <c r="F1981" s="99"/>
    </row>
    <row r="1982" ht="9.75">
      <c r="F1982" s="99"/>
    </row>
    <row r="1983" ht="9.75">
      <c r="F1983" s="99"/>
    </row>
    <row r="1984" ht="9.75">
      <c r="F1984" s="99"/>
    </row>
    <row r="1985" ht="9.75">
      <c r="F1985" s="99"/>
    </row>
    <row r="1986" ht="9.75">
      <c r="F1986" s="99"/>
    </row>
    <row r="1987" ht="9.75">
      <c r="F1987" s="99"/>
    </row>
    <row r="1988" ht="9.75">
      <c r="F1988" s="99"/>
    </row>
    <row r="1989" ht="9.75">
      <c r="F1989" s="99"/>
    </row>
    <row r="1990" ht="9.75">
      <c r="F1990" s="99"/>
    </row>
    <row r="1991" ht="9.75">
      <c r="F1991" s="99"/>
    </row>
    <row r="1992" ht="9.75">
      <c r="F1992" s="99"/>
    </row>
    <row r="1993" ht="9.75">
      <c r="F1993" s="99"/>
    </row>
    <row r="1994" ht="9.75">
      <c r="F1994" s="99"/>
    </row>
    <row r="1995" ht="9.75">
      <c r="F1995" s="99"/>
    </row>
    <row r="1996" ht="9.75">
      <c r="F1996" s="99"/>
    </row>
    <row r="1997" ht="9.75">
      <c r="F1997" s="99"/>
    </row>
    <row r="1998" ht="9.75">
      <c r="F1998" s="99"/>
    </row>
    <row r="1999" ht="9.75">
      <c r="F1999" s="99"/>
    </row>
    <row r="2000" ht="9.75">
      <c r="F2000" s="99"/>
    </row>
  </sheetData>
  <sheetProtection/>
  <autoFilter ref="A12:M953"/>
  <mergeCells count="5">
    <mergeCell ref="A10:B10"/>
    <mergeCell ref="C10:E10"/>
    <mergeCell ref="G10:M10"/>
    <mergeCell ref="A7:M7"/>
    <mergeCell ref="A9:M9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scale="90" r:id="rId1"/>
  <headerFooter>
    <oddHeader>&amp;C&amp;14&amp;A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9"/>
  <sheetViews>
    <sheetView workbookViewId="0" topLeftCell="A1">
      <selection activeCell="A53" sqref="A53"/>
    </sheetView>
  </sheetViews>
  <sheetFormatPr defaultColWidth="9.33203125" defaultRowHeight="10.5"/>
  <cols>
    <col min="1" max="1" width="9.33203125" style="0" customWidth="1"/>
    <col min="2" max="2" width="13.33203125" style="0" customWidth="1"/>
    <col min="3" max="3" width="6.5" style="0" bestFit="1" customWidth="1"/>
    <col min="4" max="4" width="51.33203125" style="0" customWidth="1"/>
    <col min="5" max="5" width="15.5" style="0" bestFit="1" customWidth="1"/>
    <col min="6" max="6" width="13.16015625" style="0" bestFit="1" customWidth="1"/>
    <col min="7" max="7" width="11.5" style="0" bestFit="1" customWidth="1"/>
    <col min="8" max="8" width="1.83203125" style="0" customWidth="1"/>
    <col min="9" max="9" width="15.5" style="0" bestFit="1" customWidth="1"/>
    <col min="10" max="10" width="13.16015625" style="0" bestFit="1" customWidth="1"/>
    <col min="11" max="11" width="14.83203125" style="0" bestFit="1" customWidth="1"/>
    <col min="12" max="12" width="2" style="0" customWidth="1"/>
    <col min="13" max="13" width="18" style="0" bestFit="1" customWidth="1"/>
    <col min="14" max="14" width="13.83203125" style="0" bestFit="1" customWidth="1"/>
    <col min="15" max="15" width="6.5" style="0" bestFit="1" customWidth="1"/>
  </cols>
  <sheetData>
    <row r="1" spans="1:6" ht="18">
      <c r="A1" s="1177" t="s">
        <v>1285</v>
      </c>
      <c r="B1" s="1178"/>
      <c r="C1" s="1178"/>
      <c r="D1" s="1178"/>
      <c r="E1" s="1178"/>
      <c r="F1" s="1178"/>
    </row>
    <row r="3" spans="1:14" ht="14.25">
      <c r="A3" s="1173"/>
      <c r="B3" s="1173"/>
      <c r="C3" s="1173"/>
      <c r="D3" s="1173"/>
      <c r="E3" s="289" t="s">
        <v>641</v>
      </c>
      <c r="F3" s="289" t="s">
        <v>669</v>
      </c>
      <c r="G3" s="289" t="s">
        <v>670</v>
      </c>
      <c r="H3" s="290"/>
      <c r="I3" s="289" t="s">
        <v>1256</v>
      </c>
      <c r="J3" s="289" t="s">
        <v>1258</v>
      </c>
      <c r="K3" s="289" t="s">
        <v>1259</v>
      </c>
      <c r="L3" s="290"/>
      <c r="M3" s="289" t="s">
        <v>589</v>
      </c>
      <c r="N3" s="289" t="s">
        <v>588</v>
      </c>
    </row>
    <row r="4" spans="1:15" ht="14.25">
      <c r="A4" s="291">
        <v>11260</v>
      </c>
      <c r="B4" s="292" t="s">
        <v>376</v>
      </c>
      <c r="C4" s="293" t="s">
        <v>371</v>
      </c>
      <c r="D4" s="294" t="s">
        <v>587</v>
      </c>
      <c r="E4" s="295">
        <f>_xlfn.SUMIFS(SIMS_2017!$L:$L,SIMS_2017!$A:$A,'1.4 Parametry MŠMT'!$A4,SIMS_2017!$F:$F,"*1*")</f>
        <v>169</v>
      </c>
      <c r="F4" s="295">
        <f>_xlfn.SUMIFS(SIMS_2017!$M:$M,SIMS_2017!$A:$A,'1.4 Parametry MŠMT'!$A4,SIMS_2017!$F:$F,"*1*")</f>
        <v>169</v>
      </c>
      <c r="G4" s="296">
        <f>F4/E4</f>
        <v>1</v>
      </c>
      <c r="H4" s="290"/>
      <c r="I4" s="648">
        <f>_xlfn.SUMIFS(SIMS_2019!$L:$L,SIMS_2019!$A:$A,'1.4 Parametry MŠMT'!$A4,SIMS_2019!$F:$F,"*1*")</f>
        <v>173.5</v>
      </c>
      <c r="J4" s="648">
        <f>_xlfn.SUMIFS(SIMS_2019!$M:$M,SIMS_2019!$A:$A,'1.4 Parametry MŠMT'!$A4,SIMS_2019!$F:$F,"*1*")</f>
        <v>173.5</v>
      </c>
      <c r="K4" s="649">
        <f>J4/I4</f>
        <v>1</v>
      </c>
      <c r="L4" s="290"/>
      <c r="M4" s="297">
        <f>(I4-E4)/E4</f>
        <v>0.026627218934911243</v>
      </c>
      <c r="N4" s="297">
        <f>(K4-G4)/G4</f>
        <v>0</v>
      </c>
      <c r="O4" s="293" t="s">
        <v>371</v>
      </c>
    </row>
    <row r="5" spans="1:15" ht="14.25">
      <c r="A5" s="291">
        <v>11270</v>
      </c>
      <c r="B5" s="292" t="s">
        <v>377</v>
      </c>
      <c r="C5" s="293" t="s">
        <v>68</v>
      </c>
      <c r="D5" s="294" t="s">
        <v>587</v>
      </c>
      <c r="E5" s="295">
        <f>_xlfn.SUMIFS(SIMS_2017!$L:$L,SIMS_2017!$A:$A,'1.4 Parametry MŠMT'!$A5,SIMS_2017!$F:$F,"*1*")</f>
        <v>172</v>
      </c>
      <c r="F5" s="295">
        <f>_xlfn.SUMIFS(SIMS_2017!$M:$M,SIMS_2017!$A:$A,'1.4 Parametry MŠMT'!$A5,SIMS_2017!$F:$F,"*1*")</f>
        <v>172</v>
      </c>
      <c r="G5" s="296">
        <f aca="true" t="shared" si="0" ref="G5:G21">F5/E5</f>
        <v>1</v>
      </c>
      <c r="H5" s="290"/>
      <c r="I5" s="648">
        <f>_xlfn.SUMIFS(SIMS_2019!$L:$L,SIMS_2019!$A:$A,'1.4 Parametry MŠMT'!$A5,SIMS_2019!$F:$F,"*1*")</f>
        <v>92</v>
      </c>
      <c r="J5" s="648">
        <f>_xlfn.SUMIFS(SIMS_2019!$M:$M,SIMS_2019!$A:$A,'1.4 Parametry MŠMT'!$A5,SIMS_2019!$F:$F,"*1*")</f>
        <v>92</v>
      </c>
      <c r="K5" s="649">
        <f aca="true" t="shared" si="1" ref="K5:K20">J5/I5</f>
        <v>1</v>
      </c>
      <c r="L5" s="290"/>
      <c r="M5" s="297">
        <f aca="true" t="shared" si="2" ref="M5:M22">(I5-E5)/E5</f>
        <v>-0.46511627906976744</v>
      </c>
      <c r="N5" s="297">
        <f aca="true" t="shared" si="3" ref="N5:N22">(K5-G5)/G5</f>
        <v>0</v>
      </c>
      <c r="O5" s="293" t="s">
        <v>68</v>
      </c>
    </row>
    <row r="6" spans="1:15" ht="14.25">
      <c r="A6" s="291">
        <v>11280</v>
      </c>
      <c r="B6" s="292" t="s">
        <v>378</v>
      </c>
      <c r="C6" s="293" t="s">
        <v>372</v>
      </c>
      <c r="D6" s="294" t="s">
        <v>587</v>
      </c>
      <c r="E6" s="295">
        <f>_xlfn.SUMIFS(SIMS_2017!$L:$L,SIMS_2017!$A:$A,'1.4 Parametry MŠMT'!$A6,SIMS_2017!$F:$F,"*1*")</f>
        <v>243</v>
      </c>
      <c r="F6" s="295">
        <f>_xlfn.SUMIFS(SIMS_2017!$M:$M,SIMS_2017!$A:$A,'1.4 Parametry MŠMT'!$A6,SIMS_2017!$F:$F,"*1*")</f>
        <v>259.9</v>
      </c>
      <c r="G6" s="296">
        <f t="shared" si="0"/>
        <v>1.0695473251028806</v>
      </c>
      <c r="H6" s="290"/>
      <c r="I6" s="648">
        <f>_xlfn.SUMIFS(SIMS_2019!$L:$L,SIMS_2019!$A:$A,'1.4 Parametry MŠMT'!$A6,SIMS_2019!$F:$F,"*1*")</f>
        <v>208</v>
      </c>
      <c r="J6" s="648">
        <f>_xlfn.SUMIFS(SIMS_2019!$M:$M,SIMS_2019!$A:$A,'1.4 Parametry MŠMT'!$A6,SIMS_2019!$F:$F,"*1*")</f>
        <v>214.6</v>
      </c>
      <c r="K6" s="649">
        <f t="shared" si="1"/>
        <v>1.0317307692307691</v>
      </c>
      <c r="L6" s="290"/>
      <c r="M6" s="297">
        <f t="shared" si="2"/>
        <v>-0.1440329218106996</v>
      </c>
      <c r="N6" s="297">
        <f t="shared" si="3"/>
        <v>-0.035357533962766835</v>
      </c>
      <c r="O6" s="293" t="s">
        <v>372</v>
      </c>
    </row>
    <row r="7" spans="1:15" ht="14.25">
      <c r="A7" s="291">
        <v>11220</v>
      </c>
      <c r="B7" s="292" t="s">
        <v>379</v>
      </c>
      <c r="C7" s="293" t="s">
        <v>42</v>
      </c>
      <c r="D7" s="294" t="s">
        <v>587</v>
      </c>
      <c r="E7" s="295">
        <f>_xlfn.SUMIFS(SIMS_2017!$L:$L,SIMS_2017!$A:$A,'1.4 Parametry MŠMT'!$A7,SIMS_2017!$F:$F,"*1*")</f>
        <v>695.5</v>
      </c>
      <c r="F7" s="295">
        <f>_xlfn.SUMIFS(SIMS_2017!$M:$M,SIMS_2017!$A:$A,'1.4 Parametry MŠMT'!$A7,SIMS_2017!$F:$F,"*1*")</f>
        <v>695.5</v>
      </c>
      <c r="G7" s="296">
        <f t="shared" si="0"/>
        <v>1</v>
      </c>
      <c r="H7" s="290"/>
      <c r="I7" s="648">
        <f>_xlfn.SUMIFS(SIMS_2019!$L:$L,SIMS_2019!$A:$A,'1.4 Parametry MŠMT'!$A7,SIMS_2019!$F:$F,"*1*")</f>
        <v>645.5</v>
      </c>
      <c r="J7" s="648">
        <f>_xlfn.SUMIFS(SIMS_2019!$M:$M,SIMS_2019!$A:$A,'1.4 Parametry MŠMT'!$A7,SIMS_2019!$F:$F,"*1*")</f>
        <v>645.5</v>
      </c>
      <c r="K7" s="649">
        <f t="shared" si="1"/>
        <v>1</v>
      </c>
      <c r="L7" s="290"/>
      <c r="M7" s="297">
        <f t="shared" si="2"/>
        <v>-0.07189072609633357</v>
      </c>
      <c r="N7" s="297">
        <f t="shared" si="3"/>
        <v>0</v>
      </c>
      <c r="O7" s="293" t="s">
        <v>42</v>
      </c>
    </row>
    <row r="8" spans="1:15" ht="14.25">
      <c r="A8" s="291">
        <v>11110</v>
      </c>
      <c r="B8" s="292" t="s">
        <v>380</v>
      </c>
      <c r="C8" s="293" t="s">
        <v>8</v>
      </c>
      <c r="D8" s="294" t="s">
        <v>587</v>
      </c>
      <c r="E8" s="295">
        <f>_xlfn.SUMIFS(SIMS_2017!$L:$L,SIMS_2017!$A:$A,'1.4 Parametry MŠMT'!$A8,SIMS_2017!$F:$F,"*1*")</f>
        <v>843.5</v>
      </c>
      <c r="F8" s="295">
        <f>_xlfn.SUMIFS(SIMS_2017!$M:$M,SIMS_2017!$A:$A,'1.4 Parametry MŠMT'!$A8,SIMS_2017!$F:$F,"*1*")</f>
        <v>2152.39</v>
      </c>
      <c r="G8" s="296">
        <f t="shared" si="0"/>
        <v>2.5517368109069354</v>
      </c>
      <c r="H8" s="290"/>
      <c r="I8" s="648">
        <f>_xlfn.SUMIFS(SIMS_2019!$L:$L,SIMS_2019!$A:$A,'1.4 Parametry MŠMT'!$A8,SIMS_2019!$F:$F,"*1*")</f>
        <v>902.5</v>
      </c>
      <c r="J8" s="648">
        <f>_xlfn.SUMIFS(SIMS_2019!$M:$M,SIMS_2019!$A:$A,'1.4 Parametry MŠMT'!$A8,SIMS_2019!$F:$F,"*1*")</f>
        <v>2351.040000000001</v>
      </c>
      <c r="K8" s="649">
        <f t="shared" si="1"/>
        <v>2.6050304709141283</v>
      </c>
      <c r="L8" s="290"/>
      <c r="M8" s="297">
        <f t="shared" si="2"/>
        <v>0.06994665085951393</v>
      </c>
      <c r="N8" s="297">
        <f t="shared" si="3"/>
        <v>0.02088524952079653</v>
      </c>
      <c r="O8" s="293" t="s">
        <v>8</v>
      </c>
    </row>
    <row r="9" spans="1:15" ht="14.25">
      <c r="A9" s="291">
        <v>11130</v>
      </c>
      <c r="B9" s="292" t="s">
        <v>381</v>
      </c>
      <c r="C9" s="293" t="s">
        <v>22</v>
      </c>
      <c r="D9" s="294" t="s">
        <v>587</v>
      </c>
      <c r="E9" s="295">
        <f>_xlfn.SUMIFS(SIMS_2017!$L:$L,SIMS_2017!$A:$A,'1.4 Parametry MŠMT'!$A9,SIMS_2017!$F:$F,"*1*")</f>
        <v>319</v>
      </c>
      <c r="F9" s="295">
        <f>_xlfn.SUMIFS(SIMS_2017!$M:$M,SIMS_2017!$A:$A,'1.4 Parametry MŠMT'!$A9,SIMS_2017!$F:$F,"*1*")</f>
        <v>829.3</v>
      </c>
      <c r="G9" s="296">
        <f t="shared" si="0"/>
        <v>2.599686520376175</v>
      </c>
      <c r="H9" s="290"/>
      <c r="I9" s="648">
        <f>_xlfn.SUMIFS(SIMS_2019!$L:$L,SIMS_2019!$A:$A,'1.4 Parametry MŠMT'!$A9,SIMS_2019!$F:$F,"*1*")</f>
        <v>395.5</v>
      </c>
      <c r="J9" s="648">
        <f>_xlfn.SUMIFS(SIMS_2019!$M:$M,SIMS_2019!$A:$A,'1.4 Parametry MŠMT'!$A9,SIMS_2019!$F:$F,"*1*")</f>
        <v>1025.5800000000002</v>
      </c>
      <c r="K9" s="649">
        <f t="shared" si="1"/>
        <v>2.593122629582807</v>
      </c>
      <c r="L9" s="290"/>
      <c r="M9" s="297">
        <f t="shared" si="2"/>
        <v>0.23981191222570533</v>
      </c>
      <c r="N9" s="297">
        <f t="shared" si="3"/>
        <v>-0.002524877804274063</v>
      </c>
      <c r="O9" s="293" t="s">
        <v>22</v>
      </c>
    </row>
    <row r="10" spans="1:15" ht="14.25">
      <c r="A10" s="291">
        <v>11120</v>
      </c>
      <c r="B10" s="292" t="s">
        <v>382</v>
      </c>
      <c r="C10" s="293" t="s">
        <v>21</v>
      </c>
      <c r="D10" s="294" t="s">
        <v>587</v>
      </c>
      <c r="E10" s="295">
        <f>_xlfn.SUMIFS(SIMS_2017!$L:$L,SIMS_2017!$A:$A,'1.4 Parametry MŠMT'!$A10,SIMS_2017!$F:$F,"*1*")</f>
        <v>401.5</v>
      </c>
      <c r="F10" s="295">
        <f>_xlfn.SUMIFS(SIMS_2017!$M:$M,SIMS_2017!$A:$A,'1.4 Parametry MŠMT'!$A10,SIMS_2017!$F:$F,"*1*")</f>
        <v>1023.28</v>
      </c>
      <c r="G10" s="296">
        <f t="shared" si="0"/>
        <v>2.548642590286426</v>
      </c>
      <c r="H10" s="290"/>
      <c r="I10" s="648">
        <f>_xlfn.SUMIFS(SIMS_2019!$L:$L,SIMS_2019!$A:$A,'1.4 Parametry MŠMT'!$A10,SIMS_2019!$F:$F,"*1*")</f>
        <v>469.5</v>
      </c>
      <c r="J10" s="648">
        <f>_xlfn.SUMIFS(SIMS_2019!$M:$M,SIMS_2019!$A:$A,'1.4 Parametry MŠMT'!$A10,SIMS_2019!$F:$F,"*1*")</f>
        <v>1210.3799999999999</v>
      </c>
      <c r="K10" s="649">
        <f t="shared" si="1"/>
        <v>2.5780191693290733</v>
      </c>
      <c r="L10" s="290"/>
      <c r="M10" s="297">
        <f t="shared" si="2"/>
        <v>0.16936488169364883</v>
      </c>
      <c r="N10" s="297">
        <f t="shared" si="3"/>
        <v>0.011526362760557095</v>
      </c>
      <c r="O10" s="293" t="s">
        <v>21</v>
      </c>
    </row>
    <row r="11" spans="1:15" ht="14.25">
      <c r="A11" s="291">
        <v>11140</v>
      </c>
      <c r="B11" s="292" t="s">
        <v>383</v>
      </c>
      <c r="C11" s="293" t="s">
        <v>23</v>
      </c>
      <c r="D11" s="294" t="s">
        <v>587</v>
      </c>
      <c r="E11" s="295">
        <f>_xlfn.SUMIFS(SIMS_2017!$L:$L,SIMS_2017!$A:$A,'1.4 Parametry MŠMT'!$A11,SIMS_2017!$F:$F,"*1*")</f>
        <v>337.5</v>
      </c>
      <c r="F11" s="295">
        <f>_xlfn.SUMIFS(SIMS_2017!$M:$M,SIMS_2017!$A:$A,'1.4 Parametry MŠMT'!$A11,SIMS_2017!$F:$F,"*1*")</f>
        <v>976.9999999999999</v>
      </c>
      <c r="G11" s="296">
        <f t="shared" si="0"/>
        <v>2.8948148148148145</v>
      </c>
      <c r="H11" s="290"/>
      <c r="I11" s="648">
        <f>_xlfn.SUMIFS(SIMS_2019!$L:$L,SIMS_2019!$A:$A,'1.4 Parametry MŠMT'!$A11,SIMS_2019!$F:$F,"*1*")</f>
        <v>399.5</v>
      </c>
      <c r="J11" s="648">
        <f>_xlfn.SUMIFS(SIMS_2019!$M:$M,SIMS_2019!$A:$A,'1.4 Parametry MŠMT'!$A11,SIMS_2019!$F:$F,"*1*")</f>
        <v>1148.6999999999996</v>
      </c>
      <c r="K11" s="649">
        <f t="shared" si="1"/>
        <v>2.8753441802252806</v>
      </c>
      <c r="L11" s="290"/>
      <c r="M11" s="297">
        <f t="shared" si="2"/>
        <v>0.1837037037037037</v>
      </c>
      <c r="N11" s="297">
        <f t="shared" si="3"/>
        <v>-0.006726038049096924</v>
      </c>
      <c r="O11" s="293" t="s">
        <v>23</v>
      </c>
    </row>
    <row r="12" spans="1:15" ht="14.25">
      <c r="A12" s="291">
        <v>11150</v>
      </c>
      <c r="B12" s="292" t="s">
        <v>384</v>
      </c>
      <c r="C12" s="293" t="s">
        <v>24</v>
      </c>
      <c r="D12" s="294" t="s">
        <v>587</v>
      </c>
      <c r="E12" s="295">
        <f>_xlfn.SUMIFS(SIMS_2017!$L:$L,SIMS_2017!$A:$A,'1.4 Parametry MŠMT'!$A12,SIMS_2017!$F:$F,"*1*")</f>
        <v>290</v>
      </c>
      <c r="F12" s="295">
        <f>_xlfn.SUMIFS(SIMS_2017!$M:$M,SIMS_2017!$A:$A,'1.4 Parametry MŠMT'!$A12,SIMS_2017!$F:$F,"*1*")</f>
        <v>819.1999999999997</v>
      </c>
      <c r="G12" s="296">
        <f t="shared" si="0"/>
        <v>2.8248275862068954</v>
      </c>
      <c r="H12" s="290"/>
      <c r="I12" s="648">
        <f>_xlfn.SUMIFS(SIMS_2019!$L:$L,SIMS_2019!$A:$A,'1.4 Parametry MŠMT'!$A12,SIMS_2019!$F:$F,"*1*")</f>
        <v>321</v>
      </c>
      <c r="J12" s="648">
        <f>_xlfn.SUMIFS(SIMS_2019!$M:$M,SIMS_2019!$A:$A,'1.4 Parametry MŠMT'!$A12,SIMS_2019!$F:$F,"*1*")</f>
        <v>902.7499999999995</v>
      </c>
      <c r="K12" s="649">
        <f t="shared" si="1"/>
        <v>2.8123052959501544</v>
      </c>
      <c r="L12" s="290"/>
      <c r="M12" s="297">
        <f t="shared" si="2"/>
        <v>0.10689655172413794</v>
      </c>
      <c r="N12" s="297">
        <f t="shared" si="3"/>
        <v>-0.004432939666082634</v>
      </c>
      <c r="O12" s="293" t="s">
        <v>24</v>
      </c>
    </row>
    <row r="13" spans="1:15" ht="14.25">
      <c r="A13" s="291">
        <v>11160</v>
      </c>
      <c r="B13" s="292" t="s">
        <v>385</v>
      </c>
      <c r="C13" s="293" t="s">
        <v>31</v>
      </c>
      <c r="D13" s="294" t="s">
        <v>587</v>
      </c>
      <c r="E13" s="295">
        <f>_xlfn.SUMIFS(SIMS_2017!$L:$L,SIMS_2017!$A:$A,'1.4 Parametry MŠMT'!$A13,SIMS_2017!$F:$F,"*1*")</f>
        <v>475</v>
      </c>
      <c r="F13" s="295">
        <f>_xlfn.SUMIFS(SIMS_2017!$M:$M,SIMS_2017!$A:$A,'1.4 Parametry MŠMT'!$A13,SIMS_2017!$F:$F,"*1*")</f>
        <v>1071.51</v>
      </c>
      <c r="G13" s="296">
        <f t="shared" si="0"/>
        <v>2.2558105263157895</v>
      </c>
      <c r="H13" s="290"/>
      <c r="I13" s="648">
        <f>_xlfn.SUMIFS(SIMS_2019!$L:$L,SIMS_2019!$A:$A,'1.4 Parametry MŠMT'!$A13,SIMS_2019!$F:$F,"*1*")</f>
        <v>431</v>
      </c>
      <c r="J13" s="648">
        <f>_xlfn.SUMIFS(SIMS_2019!$M:$M,SIMS_2019!$A:$A,'1.4 Parametry MŠMT'!$A13,SIMS_2019!$F:$F,"*1*")</f>
        <v>974.15</v>
      </c>
      <c r="K13" s="649">
        <f t="shared" si="1"/>
        <v>2.2602088167053362</v>
      </c>
      <c r="L13" s="290"/>
      <c r="M13" s="297">
        <f t="shared" si="2"/>
        <v>-0.09263157894736843</v>
      </c>
      <c r="N13" s="297">
        <f t="shared" si="3"/>
        <v>0.0019497605575633534</v>
      </c>
      <c r="O13" s="293" t="s">
        <v>31</v>
      </c>
    </row>
    <row r="14" spans="1:15" ht="14.25">
      <c r="A14" s="291">
        <v>11210</v>
      </c>
      <c r="B14" s="292" t="s">
        <v>386</v>
      </c>
      <c r="C14" s="293" t="s">
        <v>37</v>
      </c>
      <c r="D14" s="294" t="s">
        <v>587</v>
      </c>
      <c r="E14" s="295">
        <f>_xlfn.SUMIFS(SIMS_2017!$L:$L,SIMS_2017!$A:$A,'1.4 Parametry MŠMT'!$A14,SIMS_2017!$F:$F,"*1*")</f>
        <v>1716</v>
      </c>
      <c r="F14" s="295">
        <f>_xlfn.SUMIFS(SIMS_2017!$M:$M,SIMS_2017!$A:$A,'1.4 Parametry MŠMT'!$A14,SIMS_2017!$F:$F,"*1*")</f>
        <v>1844.6000000000001</v>
      </c>
      <c r="G14" s="296">
        <f t="shared" si="0"/>
        <v>1.074941724941725</v>
      </c>
      <c r="H14" s="290"/>
      <c r="I14" s="648">
        <f>_xlfn.SUMIFS(SIMS_2019!$L:$L,SIMS_2019!$A:$A,'1.4 Parametry MŠMT'!$A14,SIMS_2019!$F:$F,"*1*")</f>
        <v>1903.5</v>
      </c>
      <c r="J14" s="648">
        <f>_xlfn.SUMIFS(SIMS_2019!$M:$M,SIMS_2019!$A:$A,'1.4 Parametry MŠMT'!$A14,SIMS_2019!$F:$F,"*1*")</f>
        <v>2100.7999999999997</v>
      </c>
      <c r="K14" s="649">
        <f t="shared" si="1"/>
        <v>1.1036511688993957</v>
      </c>
      <c r="L14" s="290"/>
      <c r="M14" s="297">
        <f t="shared" si="2"/>
        <v>0.10926573426573427</v>
      </c>
      <c r="N14" s="297">
        <f t="shared" si="3"/>
        <v>0.02670790731397753</v>
      </c>
      <c r="O14" s="293" t="s">
        <v>37</v>
      </c>
    </row>
    <row r="15" spans="1:15" s="1" customFormat="1" ht="14.25">
      <c r="A15" s="611">
        <v>11310</v>
      </c>
      <c r="B15" s="292" t="s">
        <v>387</v>
      </c>
      <c r="C15" s="293" t="s">
        <v>72</v>
      </c>
      <c r="D15" s="613" t="s">
        <v>587</v>
      </c>
      <c r="E15" s="610">
        <f>_xlfn.SUMIFS(SIMS_2017!$L:$L,SIMS_2017!$A:$A,'1.4 Parametry MŠMT'!$A15,SIMS_2017!$F:$F,"*1*")</f>
        <v>1504</v>
      </c>
      <c r="F15" s="610">
        <f>_xlfn.SUMIFS(SIMS_2017!$M:$M,SIMS_2017!$A:$A,'1.4 Parametry MŠMT'!$A15,SIMS_2017!$F:$F,"*1*")</f>
        <v>3451.1299999999997</v>
      </c>
      <c r="G15" s="612">
        <f t="shared" si="0"/>
        <v>2.294634308510638</v>
      </c>
      <c r="H15" s="614"/>
      <c r="I15" s="648">
        <f>_xlfn.SUMIFS(SIMS_2019!$L:$L,SIMS_2019!$A:$A,'1.4 Parametry MŠMT'!$A15,SIMS_2019!$F:$F,"*1*")</f>
        <v>1690</v>
      </c>
      <c r="J15" s="648">
        <f>_xlfn.SUMIFS(SIMS_2019!$M:$M,SIMS_2019!$A:$A,'1.4 Parametry MŠMT'!$A15,SIMS_2019!$F:$F,"*1*")</f>
        <v>3825.659999999999</v>
      </c>
      <c r="K15" s="649">
        <f t="shared" si="1"/>
        <v>2.2637041420118336</v>
      </c>
      <c r="L15" s="614"/>
      <c r="M15" s="621">
        <f t="shared" si="2"/>
        <v>0.12367021276595745</v>
      </c>
      <c r="N15" s="621">
        <f t="shared" si="3"/>
        <v>-0.013479344566620843</v>
      </c>
      <c r="O15" s="293" t="s">
        <v>72</v>
      </c>
    </row>
    <row r="16" spans="1:15" ht="14.25">
      <c r="A16" s="291">
        <v>11320</v>
      </c>
      <c r="B16" s="292" t="s">
        <v>388</v>
      </c>
      <c r="C16" s="293" t="s">
        <v>81</v>
      </c>
      <c r="D16" s="294" t="s">
        <v>587</v>
      </c>
      <c r="E16" s="295">
        <f>_xlfn.SUMIFS(SIMS_2017!$L:$L,SIMS_2017!$A:$A,'1.4 Parametry MŠMT'!$A16,SIMS_2017!$F:$F,"*1*")</f>
        <v>774.5</v>
      </c>
      <c r="F16" s="295">
        <f>_xlfn.SUMIFS(SIMS_2017!$M:$M,SIMS_2017!$A:$A,'1.4 Parametry MŠMT'!$A16,SIMS_2017!$F:$F,"*1*")</f>
        <v>1736</v>
      </c>
      <c r="G16" s="296">
        <f t="shared" si="0"/>
        <v>2.2414460942543575</v>
      </c>
      <c r="H16" s="290"/>
      <c r="I16" s="648">
        <f>_xlfn.SUMIFS(SIMS_2019!$L:$L,SIMS_2019!$A:$A,'1.4 Parametry MŠMT'!$A16,SIMS_2019!$F:$F,"*1*")</f>
        <v>807</v>
      </c>
      <c r="J16" s="648">
        <f>_xlfn.SUMIFS(SIMS_2019!$M:$M,SIMS_2019!$A:$A,'1.4 Parametry MŠMT'!$A16,SIMS_2019!$F:$F,"*1*")</f>
        <v>1815.5499999999997</v>
      </c>
      <c r="K16" s="649">
        <f t="shared" si="1"/>
        <v>2.2497521685254025</v>
      </c>
      <c r="L16" s="290"/>
      <c r="M16" s="297">
        <f t="shared" si="2"/>
        <v>0.04196255648805681</v>
      </c>
      <c r="N16" s="297">
        <f t="shared" si="3"/>
        <v>0.003705676568504819</v>
      </c>
      <c r="O16" s="293" t="s">
        <v>81</v>
      </c>
    </row>
    <row r="17" spans="1:15" ht="14.25">
      <c r="A17" s="291">
        <v>11410</v>
      </c>
      <c r="B17" s="292" t="s">
        <v>389</v>
      </c>
      <c r="C17" s="293" t="s">
        <v>87</v>
      </c>
      <c r="D17" s="294" t="s">
        <v>587</v>
      </c>
      <c r="E17" s="295">
        <f>_xlfn.SUMIFS(SIMS_2017!$L:$L,SIMS_2017!$A:$A,'1.4 Parametry MŠMT'!$A17,SIMS_2017!$F:$F,"*1*")</f>
        <v>1713.5</v>
      </c>
      <c r="F17" s="295">
        <f>_xlfn.SUMIFS(SIMS_2017!$M:$M,SIMS_2017!$A:$A,'1.4 Parametry MŠMT'!$A17,SIMS_2017!$F:$F,"*1*")</f>
        <v>2027.2000000000003</v>
      </c>
      <c r="G17" s="296">
        <f t="shared" si="0"/>
        <v>1.183075576305807</v>
      </c>
      <c r="H17" s="290"/>
      <c r="I17" s="648">
        <f>_xlfn.SUMIFS(SIMS_2019!$L:$L,SIMS_2019!$A:$A,'1.4 Parametry MŠMT'!$A17,SIMS_2019!$F:$F,"*1*")</f>
        <v>1786</v>
      </c>
      <c r="J17" s="648">
        <f>_xlfn.SUMIFS(SIMS_2019!$M:$M,SIMS_2019!$A:$A,'1.4 Parametry MŠMT'!$A17,SIMS_2019!$F:$F,"*1*")</f>
        <v>2132.05</v>
      </c>
      <c r="K17" s="649">
        <f t="shared" si="1"/>
        <v>1.1937569988801793</v>
      </c>
      <c r="L17" s="290"/>
      <c r="M17" s="297">
        <f t="shared" si="2"/>
        <v>0.04231105923548293</v>
      </c>
      <c r="N17" s="297">
        <f t="shared" si="3"/>
        <v>0.00902852090626824</v>
      </c>
      <c r="O17" s="293" t="s">
        <v>87</v>
      </c>
    </row>
    <row r="18" spans="1:15" ht="14.25">
      <c r="A18" s="291">
        <v>11230</v>
      </c>
      <c r="B18" s="292" t="s">
        <v>390</v>
      </c>
      <c r="C18" s="293" t="s">
        <v>45</v>
      </c>
      <c r="D18" s="294" t="s">
        <v>587</v>
      </c>
      <c r="E18" s="295">
        <f>_xlfn.SUMIFS(SIMS_2017!$L:$L,SIMS_2017!$A:$A,'1.4 Parametry MŠMT'!$A18,SIMS_2017!$F:$F,"*1*")</f>
        <v>1433.5</v>
      </c>
      <c r="F18" s="295">
        <f>_xlfn.SUMIFS(SIMS_2017!$M:$M,SIMS_2017!$A:$A,'1.4 Parametry MŠMT'!$A18,SIMS_2017!$F:$F,"*1*")</f>
        <v>1526.3</v>
      </c>
      <c r="G18" s="296">
        <f t="shared" si="0"/>
        <v>1.0647366585280782</v>
      </c>
      <c r="H18" s="290"/>
      <c r="I18" s="648">
        <f>_xlfn.SUMIFS(SIMS_2019!$L:$L,SIMS_2019!$A:$A,'1.4 Parametry MŠMT'!$A18,SIMS_2019!$F:$F,"*1*")</f>
        <v>1475.5</v>
      </c>
      <c r="J18" s="648">
        <f>_xlfn.SUMIFS(SIMS_2019!$M:$M,SIMS_2019!$A:$A,'1.4 Parametry MŠMT'!$A18,SIMS_2019!$F:$F,"*1*")</f>
        <v>1573.5</v>
      </c>
      <c r="K18" s="649">
        <f t="shared" si="1"/>
        <v>1.066418163334463</v>
      </c>
      <c r="L18" s="290"/>
      <c r="M18" s="297">
        <f t="shared" si="2"/>
        <v>0.029298918730380187</v>
      </c>
      <c r="N18" s="297">
        <f t="shared" si="3"/>
        <v>0.0015792682565370637</v>
      </c>
      <c r="O18" s="293" t="s">
        <v>45</v>
      </c>
    </row>
    <row r="19" spans="1:15" ht="14.25">
      <c r="A19" s="291">
        <v>11510</v>
      </c>
      <c r="B19" s="292" t="s">
        <v>391</v>
      </c>
      <c r="C19" s="293" t="s">
        <v>94</v>
      </c>
      <c r="D19" s="294" t="s">
        <v>587</v>
      </c>
      <c r="E19" s="295">
        <f>_xlfn.SUMIFS(SIMS_2017!$L:$L,SIMS_2017!$A:$A,'1.4 Parametry MŠMT'!$A19,SIMS_2017!$F:$F,"*1*")</f>
        <v>791</v>
      </c>
      <c r="F19" s="295">
        <f>_xlfn.SUMIFS(SIMS_2017!$M:$M,SIMS_2017!$A:$A,'1.4 Parametry MŠMT'!$A19,SIMS_2017!$F:$F,"*1*")</f>
        <v>1394.55</v>
      </c>
      <c r="G19" s="296">
        <f t="shared" si="0"/>
        <v>1.7630214917825537</v>
      </c>
      <c r="H19" s="290"/>
      <c r="I19" s="648">
        <f>_xlfn.SUMIFS(SIMS_2019!$L:$L,SIMS_2019!$A:$A,'1.4 Parametry MŠMT'!$A19,SIMS_2019!$F:$F,"*1*")</f>
        <v>740.5</v>
      </c>
      <c r="J19" s="648">
        <f>_xlfn.SUMIFS(SIMS_2019!$M:$M,SIMS_2019!$A:$A,'1.4 Parametry MŠMT'!$A19,SIMS_2019!$F:$F,"*1*")</f>
        <v>1294.1399999999999</v>
      </c>
      <c r="K19" s="649">
        <f t="shared" si="1"/>
        <v>1.7476569885212692</v>
      </c>
      <c r="L19" s="290"/>
      <c r="M19" s="297">
        <f t="shared" si="2"/>
        <v>-0.0638432364096081</v>
      </c>
      <c r="N19" s="297">
        <f t="shared" si="3"/>
        <v>-0.00871487008689262</v>
      </c>
      <c r="O19" s="293" t="s">
        <v>94</v>
      </c>
    </row>
    <row r="20" spans="1:15" ht="14.25">
      <c r="A20" s="291">
        <v>11240</v>
      </c>
      <c r="B20" s="292" t="s">
        <v>392</v>
      </c>
      <c r="C20" s="293" t="s">
        <v>58</v>
      </c>
      <c r="D20" s="294" t="s">
        <v>587</v>
      </c>
      <c r="E20" s="295">
        <f>_xlfn.SUMIFS(SIMS_2017!$L:$L,SIMS_2017!$A:$A,'1.4 Parametry MŠMT'!$A20,SIMS_2017!$F:$F,"*1*")</f>
        <v>1069</v>
      </c>
      <c r="F20" s="295">
        <f>_xlfn.SUMIFS(SIMS_2017!$M:$M,SIMS_2017!$A:$A,'1.4 Parametry MŠMT'!$A20,SIMS_2017!$F:$F,"*1*")</f>
        <v>1092.1999999999998</v>
      </c>
      <c r="G20" s="296">
        <f t="shared" si="0"/>
        <v>1.0217025257249766</v>
      </c>
      <c r="H20" s="290"/>
      <c r="I20" s="648">
        <f>_xlfn.SUMIFS(SIMS_2019!$L:$L,SIMS_2019!$A:$A,'1.4 Parametry MŠMT'!$A20,SIMS_2019!$F:$F,"*1*")</f>
        <v>1121.5</v>
      </c>
      <c r="J20" s="648">
        <f>_xlfn.SUMIFS(SIMS_2019!$M:$M,SIMS_2019!$A:$A,'1.4 Parametry MŠMT'!$A20,SIMS_2019!$F:$F,"*1*")</f>
        <v>1155.53</v>
      </c>
      <c r="K20" s="649">
        <f t="shared" si="1"/>
        <v>1.0303432902362906</v>
      </c>
      <c r="L20" s="290"/>
      <c r="M20" s="297">
        <f t="shared" si="2"/>
        <v>0.04911131898971001</v>
      </c>
      <c r="N20" s="297">
        <f t="shared" si="3"/>
        <v>0.008457221445334812</v>
      </c>
      <c r="O20" s="293" t="s">
        <v>58</v>
      </c>
    </row>
    <row r="21" spans="1:15" ht="14.25">
      <c r="A21" s="291">
        <v>11620</v>
      </c>
      <c r="B21" s="292" t="s">
        <v>393</v>
      </c>
      <c r="C21" s="293" t="s">
        <v>373</v>
      </c>
      <c r="D21" s="294" t="s">
        <v>587</v>
      </c>
      <c r="E21" s="295">
        <f>_xlfn.SUMIFS(SIMS_2017!$L:$L,SIMS_2017!$A:$A,'1.4 Parametry MŠMT'!$A21,SIMS_2017!$F:$F,"*1*")</f>
        <v>31</v>
      </c>
      <c r="F21" s="295">
        <f>_xlfn.SUMIFS(SIMS_2017!$M:$M,SIMS_2017!$A:$A,'1.4 Parametry MŠMT'!$A21,SIMS_2017!$F:$F,"*1*")</f>
        <v>31</v>
      </c>
      <c r="G21" s="296">
        <f t="shared" si="0"/>
        <v>1</v>
      </c>
      <c r="H21" s="290"/>
      <c r="I21" s="648">
        <f>_xlfn.SUMIFS(SIMS_2019!$L:$L,SIMS_2019!$A:$A,'1.4 Parametry MŠMT'!$A21,SIMS_2019!$F:$F,"*1*")</f>
        <v>13</v>
      </c>
      <c r="J21" s="648">
        <f>_xlfn.SUMIFS(SIMS_2019!$M:$M,SIMS_2019!$A:$A,'1.4 Parametry MŠMT'!$A21,SIMS_2019!$F:$F,"*1*")</f>
        <v>13</v>
      </c>
      <c r="K21" s="1095">
        <f>IF(I21=0,"0",J21/I21)</f>
        <v>1</v>
      </c>
      <c r="L21" s="290"/>
      <c r="M21" s="297">
        <f t="shared" si="2"/>
        <v>-0.5806451612903226</v>
      </c>
      <c r="N21" s="297">
        <f>IF(K21="--",0,(K21-G21)/G21)</f>
        <v>0</v>
      </c>
      <c r="O21" s="293" t="s">
        <v>373</v>
      </c>
    </row>
    <row r="22" spans="1:14" ht="14.25">
      <c r="A22" s="298"/>
      <c r="B22" s="299" t="s">
        <v>395</v>
      </c>
      <c r="C22" s="300"/>
      <c r="D22" s="301" t="s">
        <v>587</v>
      </c>
      <c r="E22" s="302">
        <f>SUM(E4:E21)</f>
        <v>12978.5</v>
      </c>
      <c r="F22" s="302">
        <f>SUM(F4:F21)</f>
        <v>21272.059999999998</v>
      </c>
      <c r="G22" s="303">
        <f>F22/E22</f>
        <v>1.639022999576222</v>
      </c>
      <c r="H22" s="304"/>
      <c r="I22" s="618">
        <f>SUM(I4:I21)</f>
        <v>13575</v>
      </c>
      <c r="J22" s="618">
        <f>SUM(J4:J21)</f>
        <v>22648.429999999997</v>
      </c>
      <c r="K22" s="616">
        <f>J22/I22</f>
        <v>1.6683926335174952</v>
      </c>
      <c r="L22" s="304"/>
      <c r="M22" s="305">
        <f t="shared" si="2"/>
        <v>0.04596062719112378</v>
      </c>
      <c r="N22" s="305">
        <f t="shared" si="3"/>
        <v>0.017918988292944582</v>
      </c>
    </row>
    <row r="23" spans="1:10" ht="9.75">
      <c r="A23" s="958">
        <v>1100</v>
      </c>
      <c r="B23" s="959" t="s">
        <v>107</v>
      </c>
      <c r="C23" s="960"/>
      <c r="D23" s="960"/>
      <c r="E23" s="961">
        <f>SIMS_2018!L704+SIMS_2018!L706+SIMS_2018!L708+SIMS_2018!L710</f>
        <v>62.5</v>
      </c>
      <c r="F23" s="961">
        <f>SIMS_2018!M704+SIMS_2018!M706+SIMS_2018!M708+SIMS_2018!M710</f>
        <v>103.13</v>
      </c>
      <c r="G23" s="960"/>
      <c r="H23" s="960"/>
      <c r="I23" s="961">
        <f>_xlfn.SUMIFS(SIMS_2019!$L:$L,SIMS_2019!$A:$A,'1.4 Parametry MŠMT'!$A23,SIMS_2019!$F:$F,"*1*")</f>
        <v>13575</v>
      </c>
      <c r="J23" s="961">
        <f>_xlfn.SUMIFS(SIMS_2019!$M:$M,SIMS_2019!$A:$A,'1.4 Parametry MŠMT'!$A23,SIMS_2019!$F:$F,"*1*")</f>
        <v>22648.43</v>
      </c>
    </row>
    <row r="24" spans="11:14" ht="9.75">
      <c r="K24" s="307" t="s">
        <v>590</v>
      </c>
      <c r="L24" s="308"/>
      <c r="M24" s="309">
        <v>-0.1</v>
      </c>
      <c r="N24" s="310">
        <v>-0.03</v>
      </c>
    </row>
    <row r="25" spans="11:14" ht="9.75">
      <c r="K25" s="385"/>
      <c r="L25" s="385"/>
      <c r="M25" s="386"/>
      <c r="N25" s="386"/>
    </row>
    <row r="26" spans="1:15" ht="13.5">
      <c r="A26" s="1174" t="s">
        <v>718</v>
      </c>
      <c r="B26" s="1175"/>
      <c r="C26" s="1175"/>
      <c r="D26" s="1175"/>
      <c r="E26" s="1175"/>
      <c r="F26" s="1175"/>
      <c r="G26" s="1175"/>
      <c r="H26" s="1175"/>
      <c r="I26" s="1175"/>
      <c r="J26" s="1175"/>
      <c r="K26" s="1175"/>
      <c r="L26" s="1175"/>
      <c r="M26" s="1175"/>
      <c r="N26" s="1175"/>
      <c r="O26" s="1176"/>
    </row>
    <row r="29" ht="9.75">
      <c r="N29" s="390"/>
    </row>
  </sheetData>
  <sheetProtection/>
  <mergeCells count="3">
    <mergeCell ref="A3:D3"/>
    <mergeCell ref="A26:O26"/>
    <mergeCell ref="A1:F1"/>
  </mergeCells>
  <conditionalFormatting sqref="M4:M22">
    <cfRule type="cellIs" priority="10" dxfId="23" operator="lessThan" stopIfTrue="1">
      <formula>$M$24</formula>
    </cfRule>
  </conditionalFormatting>
  <conditionalFormatting sqref="N4:N22">
    <cfRule type="cellIs" priority="9" dxfId="23" operator="lessThan" stopIfTrue="1">
      <formula>$N$24</formula>
    </cfRule>
  </conditionalFormatting>
  <conditionalFormatting sqref="C5:C21">
    <cfRule type="expression" priority="7" dxfId="24" stopIfTrue="1">
      <formula>M5&lt;$M$24</formula>
    </cfRule>
  </conditionalFormatting>
  <conditionalFormatting sqref="C4">
    <cfRule type="expression" priority="6" dxfId="24" stopIfTrue="1">
      <formula>M4&lt;$M$24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Header>&amp;C&amp;14&amp;A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4"/>
  <sheetViews>
    <sheetView workbookViewId="0" topLeftCell="A1">
      <selection activeCell="A53" sqref="A53"/>
    </sheetView>
  </sheetViews>
  <sheetFormatPr defaultColWidth="9.33203125" defaultRowHeight="10.5"/>
  <cols>
    <col min="1" max="1" width="9.33203125" style="0" customWidth="1"/>
    <col min="2" max="2" width="13.33203125" style="0" customWidth="1"/>
    <col min="3" max="3" width="43.5" style="0" customWidth="1"/>
    <col min="4" max="4" width="15.5" style="0" bestFit="1" customWidth="1"/>
    <col min="5" max="5" width="21" style="0" bestFit="1" customWidth="1"/>
    <col min="6" max="6" width="15.5" style="0" bestFit="1" customWidth="1"/>
    <col min="7" max="7" width="21" style="0" bestFit="1" customWidth="1"/>
    <col min="8" max="8" width="15.5" style="0" bestFit="1" customWidth="1"/>
    <col min="10" max="10" width="3.5" style="0" customWidth="1"/>
    <col min="11" max="11" width="16.16015625" style="0" customWidth="1"/>
    <col min="12" max="12" width="15.83203125" style="0" customWidth="1"/>
  </cols>
  <sheetData>
    <row r="1" spans="11:12" ht="24.75" customHeight="1">
      <c r="K1" s="1179" t="s">
        <v>1286</v>
      </c>
      <c r="L1" s="1180"/>
    </row>
    <row r="2" spans="11:12" ht="24.75" customHeight="1">
      <c r="K2" s="1181"/>
      <c r="L2" s="1182"/>
    </row>
    <row r="3" spans="1:14" ht="14.25">
      <c r="A3" s="1173" t="s">
        <v>640</v>
      </c>
      <c r="B3" s="1173"/>
      <c r="C3" s="1173"/>
      <c r="D3" s="289" t="s">
        <v>1256</v>
      </c>
      <c r="E3" s="289" t="s">
        <v>1257</v>
      </c>
      <c r="F3" s="289" t="s">
        <v>681</v>
      </c>
      <c r="G3" s="289" t="s">
        <v>682</v>
      </c>
      <c r="H3" s="289" t="s">
        <v>641</v>
      </c>
      <c r="K3" s="1096" t="s">
        <v>1288</v>
      </c>
      <c r="L3" s="1097" t="s">
        <v>1287</v>
      </c>
      <c r="N3" s="1107" t="s">
        <v>1290</v>
      </c>
    </row>
    <row r="4" spans="1:14" ht="14.25">
      <c r="A4" s="291">
        <v>11260</v>
      </c>
      <c r="B4" s="292" t="s">
        <v>376</v>
      </c>
      <c r="C4" s="293" t="s">
        <v>371</v>
      </c>
      <c r="D4" s="295">
        <f>_xlfn.SUMIFS(SIMS_2019!$L:$L,SIMS_2019!$A:$A,'1.4 Pokles za 2 roky'!$A4,SIMS_2019!$F:$F,"*1*")</f>
        <v>173.5</v>
      </c>
      <c r="E4" s="297">
        <f aca="true" t="shared" si="0" ref="E4:E22">(D4-F4)/F4</f>
        <v>-0.057065217391304345</v>
      </c>
      <c r="F4" s="295">
        <f>_xlfn.SUMIFS(SIMS_2018!L:L,SIMS_2018!$A:$A,'1.4 Pokles za 2 roky'!$A4,SIMS_2018!$F:$F,"*1*")</f>
        <v>184</v>
      </c>
      <c r="G4" s="297">
        <f aca="true" t="shared" si="1" ref="G4:G22">(F4-H4)/H4</f>
        <v>0.08875739644970414</v>
      </c>
      <c r="H4" s="295">
        <f>_xlfn.SUMIFS(SIMS_2017!L:L,SIMS_2017!A:A,'1.4 Pokles za 2 roky'!$A4,SIMS_2017!F:F,"*1*")</f>
        <v>169</v>
      </c>
      <c r="I4" s="293" t="s">
        <v>371</v>
      </c>
      <c r="K4" s="1098"/>
      <c r="L4" s="1099"/>
      <c r="N4" s="1108">
        <f>IF((E4+G4)&lt;$E$24,D4-(H4*0.9),0)</f>
        <v>0</v>
      </c>
    </row>
    <row r="5" spans="1:14" ht="14.25">
      <c r="A5" s="291">
        <v>11270</v>
      </c>
      <c r="B5" s="292" t="s">
        <v>377</v>
      </c>
      <c r="C5" s="293" t="s">
        <v>68</v>
      </c>
      <c r="D5" s="295">
        <f>_xlfn.SUMIFS(SIMS_2019!$L:$L,SIMS_2019!$A:$A,'1.4 Pokles za 2 roky'!$A5,SIMS_2019!$F:$F,"*1*")</f>
        <v>92</v>
      </c>
      <c r="E5" s="297">
        <f t="shared" si="0"/>
        <v>-0.21030042918454936</v>
      </c>
      <c r="F5" s="295">
        <f>_xlfn.SUMIFS(SIMS_2018!L:L,SIMS_2018!$A:$A,'1.4 Pokles za 2 roky'!$A5,SIMS_2018!$F:$F,"*1*")</f>
        <v>116.5</v>
      </c>
      <c r="G5" s="297">
        <f t="shared" si="1"/>
        <v>-0.3226744186046512</v>
      </c>
      <c r="H5" s="295">
        <f>_xlfn.SUMIFS(SIMS_2017!L:L,SIMS_2017!A:A,'1.4 Pokles za 2 roky'!$A5,SIMS_2017!F:F,"*1*")</f>
        <v>172</v>
      </c>
      <c r="I5" s="293" t="s">
        <v>68</v>
      </c>
      <c r="K5" s="1098">
        <f>H5*0.9</f>
        <v>154.8</v>
      </c>
      <c r="L5" s="1099">
        <f>IF(K5-D5&lt;0,"",K5-D5)</f>
        <v>62.80000000000001</v>
      </c>
      <c r="N5" s="1108">
        <f aca="true" t="shared" si="2" ref="N5:N21">IF((E5+G5)&lt;$E$24,D5-(H5*0.9),0)</f>
        <v>-62.80000000000001</v>
      </c>
    </row>
    <row r="6" spans="1:14" ht="14.25">
      <c r="A6" s="291">
        <v>11280</v>
      </c>
      <c r="B6" s="292" t="s">
        <v>378</v>
      </c>
      <c r="C6" s="293" t="s">
        <v>372</v>
      </c>
      <c r="D6" s="295">
        <f>_xlfn.SUMIFS(SIMS_2019!$L:$L,SIMS_2019!$A:$A,'1.4 Pokles za 2 roky'!$A6,SIMS_2019!$F:$F,"*1*")</f>
        <v>208</v>
      </c>
      <c r="E6" s="297">
        <f t="shared" si="0"/>
        <v>-0.007159904534606206</v>
      </c>
      <c r="F6" s="295">
        <f>_xlfn.SUMIFS(SIMS_2018!L:L,SIMS_2018!$A:$A,'1.4 Pokles za 2 roky'!$A6,SIMS_2018!$F:$F,"*1*")</f>
        <v>209.5</v>
      </c>
      <c r="G6" s="297">
        <f t="shared" si="1"/>
        <v>-0.13786008230452676</v>
      </c>
      <c r="H6" s="295">
        <f>_xlfn.SUMIFS(SIMS_2017!L:L,SIMS_2017!A:A,'1.4 Pokles za 2 roky'!$A6,SIMS_2017!F:F,"*1*")</f>
        <v>243</v>
      </c>
      <c r="I6" s="293" t="s">
        <v>372</v>
      </c>
      <c r="K6" s="1098"/>
      <c r="L6" s="1099"/>
      <c r="N6" s="1108">
        <f>IF((E6+G6)&lt;$E$24,D6-(H6*0.9),0)</f>
        <v>0</v>
      </c>
    </row>
    <row r="7" spans="1:14" ht="14.25">
      <c r="A7" s="291">
        <v>11220</v>
      </c>
      <c r="B7" s="292" t="s">
        <v>379</v>
      </c>
      <c r="C7" s="293" t="s">
        <v>42</v>
      </c>
      <c r="D7" s="295">
        <f>_xlfn.SUMIFS(SIMS_2019!$L:$L,SIMS_2019!$A:$A,'1.4 Pokles za 2 roky'!$A7,SIMS_2019!$F:$F,"*1*")</f>
        <v>645.5</v>
      </c>
      <c r="E7" s="297">
        <f t="shared" si="0"/>
        <v>-0.058351568198395334</v>
      </c>
      <c r="F7" s="295">
        <f>_xlfn.SUMIFS(SIMS_2018!L:L,SIMS_2018!$A:$A,'1.4 Pokles za 2 roky'!$A7,SIMS_2018!$F:$F,"*1*")</f>
        <v>685.5</v>
      </c>
      <c r="G7" s="297">
        <f t="shared" si="1"/>
        <v>-0.014378145219266714</v>
      </c>
      <c r="H7" s="295">
        <f>_xlfn.SUMIFS(SIMS_2017!L:L,SIMS_2017!A:A,'1.4 Pokles za 2 roky'!$A7,SIMS_2017!F:F,"*1*")</f>
        <v>695.5</v>
      </c>
      <c r="I7" s="293" t="s">
        <v>42</v>
      </c>
      <c r="K7" s="1098"/>
      <c r="L7" s="1099"/>
      <c r="N7" s="1108">
        <f t="shared" si="2"/>
        <v>0</v>
      </c>
    </row>
    <row r="8" spans="1:14" ht="14.25">
      <c r="A8" s="291">
        <v>11110</v>
      </c>
      <c r="B8" s="292" t="s">
        <v>380</v>
      </c>
      <c r="C8" s="293" t="s">
        <v>8</v>
      </c>
      <c r="D8" s="295">
        <f>_xlfn.SUMIFS(SIMS_2019!$L:$L,SIMS_2019!$A:$A,'1.4 Pokles za 2 roky'!$A8,SIMS_2019!$F:$F,"*1*")</f>
        <v>902.5</v>
      </c>
      <c r="E8" s="297">
        <f t="shared" si="0"/>
        <v>0.015756893640967922</v>
      </c>
      <c r="F8" s="295">
        <f>_xlfn.SUMIFS(SIMS_2018!L:L,SIMS_2018!$A:$A,'1.4 Pokles za 2 roky'!$A8,SIMS_2018!$F:$F,"*1*")</f>
        <v>888.5</v>
      </c>
      <c r="G8" s="297">
        <f t="shared" si="1"/>
        <v>0.053349140486069944</v>
      </c>
      <c r="H8" s="295">
        <f>_xlfn.SUMIFS(SIMS_2017!L:L,SIMS_2017!A:A,'1.4 Pokles za 2 roky'!$A8,SIMS_2017!F:F,"*1*")</f>
        <v>843.5</v>
      </c>
      <c r="I8" s="293" t="s">
        <v>8</v>
      </c>
      <c r="K8" s="1098"/>
      <c r="L8" s="1099"/>
      <c r="N8" s="1108">
        <f t="shared" si="2"/>
        <v>0</v>
      </c>
    </row>
    <row r="9" spans="1:14" ht="14.25">
      <c r="A9" s="291">
        <v>11130</v>
      </c>
      <c r="B9" s="292" t="s">
        <v>381</v>
      </c>
      <c r="C9" s="293" t="s">
        <v>22</v>
      </c>
      <c r="D9" s="295">
        <f>_xlfn.SUMIFS(SIMS_2019!$L:$L,SIMS_2019!$A:$A,'1.4 Pokles za 2 roky'!$A9,SIMS_2019!$F:$F,"*1*")</f>
        <v>395.5</v>
      </c>
      <c r="E9" s="297">
        <f t="shared" si="0"/>
        <v>0.19667170953101362</v>
      </c>
      <c r="F9" s="295">
        <f>_xlfn.SUMIFS(SIMS_2018!L:L,SIMS_2018!$A:$A,'1.4 Pokles za 2 roky'!$A9,SIMS_2018!$F:$F,"*1*")</f>
        <v>330.5</v>
      </c>
      <c r="G9" s="297">
        <f t="shared" si="1"/>
        <v>0.03605015673981191</v>
      </c>
      <c r="H9" s="295">
        <f>_xlfn.SUMIFS(SIMS_2017!L:L,SIMS_2017!A:A,'1.4 Pokles za 2 roky'!$A9,SIMS_2017!F:F,"*1*")</f>
        <v>319</v>
      </c>
      <c r="I9" s="293" t="s">
        <v>22</v>
      </c>
      <c r="K9" s="1098"/>
      <c r="L9" s="1099"/>
      <c r="N9" s="1108">
        <f t="shared" si="2"/>
        <v>0</v>
      </c>
    </row>
    <row r="10" spans="1:14" ht="14.25">
      <c r="A10" s="291">
        <v>11120</v>
      </c>
      <c r="B10" s="292" t="s">
        <v>382</v>
      </c>
      <c r="C10" s="293" t="s">
        <v>21</v>
      </c>
      <c r="D10" s="295">
        <f>_xlfn.SUMIFS(SIMS_2019!$L:$L,SIMS_2019!$A:$A,'1.4 Pokles za 2 roky'!$A10,SIMS_2019!$F:$F,"*1*")</f>
        <v>469.5</v>
      </c>
      <c r="E10" s="297">
        <f t="shared" si="0"/>
        <v>0.15782983970406905</v>
      </c>
      <c r="F10" s="295">
        <f>_xlfn.SUMIFS(SIMS_2018!L:L,SIMS_2018!$A:$A,'1.4 Pokles za 2 roky'!$A10,SIMS_2018!$F:$F,"*1*")</f>
        <v>405.5</v>
      </c>
      <c r="G10" s="297">
        <f t="shared" si="1"/>
        <v>0.009962640099626401</v>
      </c>
      <c r="H10" s="295">
        <f>_xlfn.SUMIFS(SIMS_2017!L:L,SIMS_2017!A:A,'1.4 Pokles za 2 roky'!$A10,SIMS_2017!F:F,"*1*")</f>
        <v>401.5</v>
      </c>
      <c r="I10" s="293" t="s">
        <v>21</v>
      </c>
      <c r="K10" s="1098"/>
      <c r="L10" s="1099"/>
      <c r="N10" s="1108">
        <f t="shared" si="2"/>
        <v>0</v>
      </c>
    </row>
    <row r="11" spans="1:14" ht="14.25">
      <c r="A11" s="291">
        <v>11140</v>
      </c>
      <c r="B11" s="292" t="s">
        <v>383</v>
      </c>
      <c r="C11" s="293" t="s">
        <v>23</v>
      </c>
      <c r="D11" s="295">
        <f>_xlfn.SUMIFS(SIMS_2019!$L:$L,SIMS_2019!$A:$A,'1.4 Pokles za 2 roky'!$A11,SIMS_2019!$F:$F,"*1*")</f>
        <v>399.5</v>
      </c>
      <c r="E11" s="297">
        <f t="shared" si="0"/>
        <v>0.20150375939849624</v>
      </c>
      <c r="F11" s="295">
        <f>_xlfn.SUMIFS(SIMS_2018!L:L,SIMS_2018!$A:$A,'1.4 Pokles za 2 roky'!$A11,SIMS_2018!$F:$F,"*1*")</f>
        <v>332.5</v>
      </c>
      <c r="G11" s="297">
        <f t="shared" si="1"/>
        <v>-0.014814814814814815</v>
      </c>
      <c r="H11" s="295">
        <f>_xlfn.SUMIFS(SIMS_2017!L:L,SIMS_2017!A:A,'1.4 Pokles za 2 roky'!$A11,SIMS_2017!F:F,"*1*")</f>
        <v>337.5</v>
      </c>
      <c r="I11" s="293" t="s">
        <v>23</v>
      </c>
      <c r="K11" s="1098"/>
      <c r="L11" s="1099"/>
      <c r="N11" s="1108">
        <f t="shared" si="2"/>
        <v>0</v>
      </c>
    </row>
    <row r="12" spans="1:14" ht="14.25">
      <c r="A12" s="291">
        <v>11150</v>
      </c>
      <c r="B12" s="292" t="s">
        <v>384</v>
      </c>
      <c r="C12" s="293" t="s">
        <v>24</v>
      </c>
      <c r="D12" s="295">
        <f>_xlfn.SUMIFS(SIMS_2019!$L:$L,SIMS_2019!$A:$A,'1.4 Pokles za 2 roky'!$A12,SIMS_2019!$F:$F,"*1*")</f>
        <v>321</v>
      </c>
      <c r="E12" s="297">
        <f t="shared" si="0"/>
        <v>0.15053763440860216</v>
      </c>
      <c r="F12" s="295">
        <f>_xlfn.SUMIFS(SIMS_2018!L:L,SIMS_2018!$A:$A,'1.4 Pokles za 2 roky'!$A12,SIMS_2018!$F:$F,"*1*")</f>
        <v>279</v>
      </c>
      <c r="G12" s="297">
        <f t="shared" si="1"/>
        <v>-0.03793103448275862</v>
      </c>
      <c r="H12" s="295">
        <f>_xlfn.SUMIFS(SIMS_2017!L:L,SIMS_2017!A:A,'1.4 Pokles za 2 roky'!$A12,SIMS_2017!F:F,"*1*")</f>
        <v>290</v>
      </c>
      <c r="I12" s="293" t="s">
        <v>24</v>
      </c>
      <c r="K12" s="1098"/>
      <c r="L12" s="1099"/>
      <c r="N12" s="1108">
        <f t="shared" si="2"/>
        <v>0</v>
      </c>
    </row>
    <row r="13" spans="1:14" ht="14.25">
      <c r="A13" s="291">
        <v>11160</v>
      </c>
      <c r="B13" s="292" t="s">
        <v>385</v>
      </c>
      <c r="C13" s="293" t="s">
        <v>31</v>
      </c>
      <c r="D13" s="295">
        <f>_xlfn.SUMIFS(SIMS_2019!$L:$L,SIMS_2019!$A:$A,'1.4 Pokles za 2 roky'!$A13,SIMS_2019!$F:$F,"*1*")</f>
        <v>431</v>
      </c>
      <c r="E13" s="297">
        <f t="shared" si="0"/>
        <v>0.01411764705882353</v>
      </c>
      <c r="F13" s="295">
        <f>_xlfn.SUMIFS(SIMS_2018!L:L,SIMS_2018!$A:$A,'1.4 Pokles za 2 roky'!$A13,SIMS_2018!$F:$F,"*1*")</f>
        <v>425</v>
      </c>
      <c r="G13" s="297">
        <f t="shared" si="1"/>
        <v>-0.10526315789473684</v>
      </c>
      <c r="H13" s="295">
        <f>_xlfn.SUMIFS(SIMS_2017!L:L,SIMS_2017!A:A,'1.4 Pokles za 2 roky'!$A13,SIMS_2017!F:F,"*1*")</f>
        <v>475</v>
      </c>
      <c r="I13" s="293" t="s">
        <v>31</v>
      </c>
      <c r="K13" s="1098"/>
      <c r="L13" s="1099"/>
      <c r="N13" s="1108">
        <f t="shared" si="2"/>
        <v>0</v>
      </c>
    </row>
    <row r="14" spans="1:14" ht="14.25">
      <c r="A14" s="291">
        <v>11210</v>
      </c>
      <c r="B14" s="292" t="s">
        <v>386</v>
      </c>
      <c r="C14" s="293" t="s">
        <v>37</v>
      </c>
      <c r="D14" s="295">
        <f>_xlfn.SUMIFS(SIMS_2019!$L:$L,SIMS_2019!$A:$A,'1.4 Pokles za 2 roky'!$A14,SIMS_2019!$F:$F,"*1*")</f>
        <v>1903.5</v>
      </c>
      <c r="E14" s="297">
        <f t="shared" si="0"/>
        <v>0.10991253644314869</v>
      </c>
      <c r="F14" s="295">
        <f>_xlfn.SUMIFS(SIMS_2018!L:L,SIMS_2018!$A:$A,'1.4 Pokles za 2 roky'!$A14,SIMS_2018!$F:$F,"*1*")</f>
        <v>1715</v>
      </c>
      <c r="G14" s="297">
        <f t="shared" si="1"/>
        <v>-0.0005827505827505828</v>
      </c>
      <c r="H14" s="295">
        <f>_xlfn.SUMIFS(SIMS_2017!L:L,SIMS_2017!A:A,'1.4 Pokles za 2 roky'!$A14,SIMS_2017!F:F,"*1*")</f>
        <v>1716</v>
      </c>
      <c r="I14" s="293" t="s">
        <v>37</v>
      </c>
      <c r="K14" s="1098"/>
      <c r="L14" s="1099"/>
      <c r="N14" s="1108">
        <f t="shared" si="2"/>
        <v>0</v>
      </c>
    </row>
    <row r="15" spans="1:15" s="1" customFormat="1" ht="14.25">
      <c r="A15" s="611">
        <v>11310</v>
      </c>
      <c r="B15" s="292" t="s">
        <v>387</v>
      </c>
      <c r="C15" s="293" t="s">
        <v>72</v>
      </c>
      <c r="D15" s="295">
        <f>_xlfn.SUMIFS(SIMS_2019!$L:$L,SIMS_2019!$A:$A,'1.4 Pokles za 2 roky'!$A15,SIMS_2019!$F:$F,"*1*")</f>
        <v>1690</v>
      </c>
      <c r="E15" s="621">
        <f>(D15-F15)/F15</f>
        <v>0.07029765674477517</v>
      </c>
      <c r="F15" s="610">
        <f>_xlfn.SUMIFS(SIMS_2018!L:L,SIMS_2018!$A:$A,'1.4 Pokles za 2 roky'!$A15,SIMS_2018!$F:$F,"*1*")</f>
        <v>1579</v>
      </c>
      <c r="G15" s="621">
        <f t="shared" si="1"/>
        <v>0.049867021276595744</v>
      </c>
      <c r="H15" s="295">
        <f>_xlfn.SUMIFS(SIMS_2017!L:L,SIMS_2017!A:A,'1.4 Pokles za 2 roky'!$A15,SIMS_2017!F:F,"*1*")</f>
        <v>1504</v>
      </c>
      <c r="I15" s="293" t="s">
        <v>72</v>
      </c>
      <c r="K15" s="1098"/>
      <c r="L15" s="1099"/>
      <c r="N15" s="1108">
        <f t="shared" si="2"/>
        <v>0</v>
      </c>
      <c r="O15"/>
    </row>
    <row r="16" spans="1:14" ht="14.25">
      <c r="A16" s="291">
        <v>11320</v>
      </c>
      <c r="B16" s="292" t="s">
        <v>388</v>
      </c>
      <c r="C16" s="293" t="s">
        <v>81</v>
      </c>
      <c r="D16" s="295">
        <f>_xlfn.SUMIFS(SIMS_2019!$L:$L,SIMS_2019!$A:$A,'1.4 Pokles za 2 roky'!$A16,SIMS_2019!$F:$F,"*1*")</f>
        <v>807</v>
      </c>
      <c r="E16" s="297">
        <f t="shared" si="0"/>
        <v>-0.05114638447971781</v>
      </c>
      <c r="F16" s="295">
        <f>_xlfn.SUMIFS(SIMS_2018!L:L,SIMS_2018!$A:$A,'1.4 Pokles za 2 roky'!$A16,SIMS_2018!$F:$F,"*1*")</f>
        <v>850.5</v>
      </c>
      <c r="G16" s="297">
        <f t="shared" si="1"/>
        <v>0.09812782440284054</v>
      </c>
      <c r="H16" s="295">
        <f>_xlfn.SUMIFS(SIMS_2017!L:L,SIMS_2017!A:A,'1.4 Pokles za 2 roky'!$A16,SIMS_2017!F:F,"*1*")</f>
        <v>774.5</v>
      </c>
      <c r="I16" s="293" t="s">
        <v>81</v>
      </c>
      <c r="K16" s="1098"/>
      <c r="L16" s="1099"/>
      <c r="N16" s="1108">
        <f t="shared" si="2"/>
        <v>0</v>
      </c>
    </row>
    <row r="17" spans="1:14" ht="14.25">
      <c r="A17" s="291">
        <v>11410</v>
      </c>
      <c r="B17" s="292" t="s">
        <v>389</v>
      </c>
      <c r="C17" s="293" t="s">
        <v>87</v>
      </c>
      <c r="D17" s="295">
        <f>_xlfn.SUMIFS(SIMS_2019!$L:$L,SIMS_2019!$A:$A,'1.4 Pokles za 2 roky'!$A17,SIMS_2019!$F:$F,"*1*")</f>
        <v>1786</v>
      </c>
      <c r="E17" s="297">
        <f t="shared" si="0"/>
        <v>0.12221174992145774</v>
      </c>
      <c r="F17" s="295">
        <f>_xlfn.SUMIFS(SIMS_2018!L:L,SIMS_2018!$A:$A,'1.4 Pokles za 2 roky'!$A17,SIMS_2018!$F:$F,"*1*")</f>
        <v>1591.5</v>
      </c>
      <c r="G17" s="297">
        <f t="shared" si="1"/>
        <v>-0.07119929967901956</v>
      </c>
      <c r="H17" s="295">
        <f>_xlfn.SUMIFS(SIMS_2017!L:L,SIMS_2017!A:A,'1.4 Pokles za 2 roky'!$A17,SIMS_2017!F:F,"*1*")</f>
        <v>1713.5</v>
      </c>
      <c r="I17" s="293" t="s">
        <v>87</v>
      </c>
      <c r="K17" s="1098"/>
      <c r="L17" s="1099"/>
      <c r="N17" s="1108">
        <f t="shared" si="2"/>
        <v>0</v>
      </c>
    </row>
    <row r="18" spans="1:14" ht="14.25">
      <c r="A18" s="291">
        <v>11230</v>
      </c>
      <c r="B18" s="292" t="s">
        <v>390</v>
      </c>
      <c r="C18" s="293" t="s">
        <v>45</v>
      </c>
      <c r="D18" s="295">
        <f>_xlfn.SUMIFS(SIMS_2019!$L:$L,SIMS_2019!$A:$A,'1.4 Pokles za 2 roky'!$A18,SIMS_2019!$F:$F,"*1*")</f>
        <v>1475.5</v>
      </c>
      <c r="E18" s="297">
        <f t="shared" si="0"/>
        <v>0.016884906960716747</v>
      </c>
      <c r="F18" s="295">
        <f>_xlfn.SUMIFS(SIMS_2018!L:L,SIMS_2018!$A:$A,'1.4 Pokles za 2 roky'!$A18,SIMS_2018!$F:$F,"*1*")</f>
        <v>1451</v>
      </c>
      <c r="G18" s="297">
        <f t="shared" si="1"/>
        <v>0.012207882804325079</v>
      </c>
      <c r="H18" s="295">
        <f>_xlfn.SUMIFS(SIMS_2017!L:L,SIMS_2017!A:A,'1.4 Pokles za 2 roky'!$A18,SIMS_2017!F:F,"*1*")</f>
        <v>1433.5</v>
      </c>
      <c r="I18" s="293" t="s">
        <v>45</v>
      </c>
      <c r="K18" s="1098"/>
      <c r="L18" s="1099"/>
      <c r="N18" s="1108">
        <f t="shared" si="2"/>
        <v>0</v>
      </c>
    </row>
    <row r="19" spans="1:14" ht="14.25">
      <c r="A19" s="291">
        <v>11510</v>
      </c>
      <c r="B19" s="292" t="s">
        <v>391</v>
      </c>
      <c r="C19" s="293" t="s">
        <v>94</v>
      </c>
      <c r="D19" s="295">
        <f>_xlfn.SUMIFS(SIMS_2019!$L:$L,SIMS_2019!$A:$A,'1.4 Pokles za 2 roky'!$A19,SIMS_2019!$F:$F,"*1*")</f>
        <v>740.5</v>
      </c>
      <c r="E19" s="297">
        <f t="shared" si="0"/>
        <v>-0.07725856697819315</v>
      </c>
      <c r="F19" s="295">
        <f>_xlfn.SUMIFS(SIMS_2018!L:L,SIMS_2018!$A:$A,'1.4 Pokles za 2 roky'!$A19,SIMS_2018!$F:$F,"*1*")</f>
        <v>802.5</v>
      </c>
      <c r="G19" s="297">
        <f t="shared" si="1"/>
        <v>0.014538558786346398</v>
      </c>
      <c r="H19" s="295">
        <f>_xlfn.SUMIFS(SIMS_2017!L:L,SIMS_2017!A:A,'1.4 Pokles za 2 roky'!$A19,SIMS_2017!F:F,"*1*")</f>
        <v>791</v>
      </c>
      <c r="I19" s="293" t="s">
        <v>94</v>
      </c>
      <c r="K19" s="1098"/>
      <c r="L19" s="1099"/>
      <c r="N19" s="1108">
        <f t="shared" si="2"/>
        <v>0</v>
      </c>
    </row>
    <row r="20" spans="1:14" ht="14.25">
      <c r="A20" s="291">
        <v>11240</v>
      </c>
      <c r="B20" s="292" t="s">
        <v>392</v>
      </c>
      <c r="C20" s="293" t="s">
        <v>58</v>
      </c>
      <c r="D20" s="295">
        <f>_xlfn.SUMIFS(SIMS_2019!$L:$L,SIMS_2019!$A:$A,'1.4 Pokles za 2 roky'!$A20,SIMS_2019!$F:$F,"*1*")</f>
        <v>1121.5</v>
      </c>
      <c r="E20" s="297">
        <f t="shared" si="0"/>
        <v>0.04862085086489014</v>
      </c>
      <c r="F20" s="295">
        <f>_xlfn.SUMIFS(SIMS_2018!L:L,SIMS_2018!$A:$A,'1.4 Pokles za 2 roky'!$A20,SIMS_2018!$F:$F,"*1*")</f>
        <v>1069.5</v>
      </c>
      <c r="G20" s="297">
        <f t="shared" si="1"/>
        <v>0.0004677268475210477</v>
      </c>
      <c r="H20" s="295">
        <f>_xlfn.SUMIFS(SIMS_2017!L:L,SIMS_2017!A:A,'1.4 Pokles za 2 roky'!$A20,SIMS_2017!F:F,"*1*")</f>
        <v>1069</v>
      </c>
      <c r="I20" s="293" t="s">
        <v>58</v>
      </c>
      <c r="K20" s="1098"/>
      <c r="L20" s="1099"/>
      <c r="N20" s="1108">
        <f t="shared" si="2"/>
        <v>0</v>
      </c>
    </row>
    <row r="21" spans="1:14" ht="14.25">
      <c r="A21" s="291">
        <v>11620</v>
      </c>
      <c r="B21" s="292" t="s">
        <v>393</v>
      </c>
      <c r="C21" s="293" t="s">
        <v>373</v>
      </c>
      <c r="D21" s="295">
        <f>_xlfn.SUMIFS(SIMS_2019!$L:$L,SIMS_2019!$A:$A,'1.4 Pokles za 2 roky'!$A21,SIMS_2019!$F:$F,"*1*")</f>
        <v>13</v>
      </c>
      <c r="E21" s="297">
        <f t="shared" si="0"/>
        <v>-0.2777777777777778</v>
      </c>
      <c r="F21" s="295">
        <f>_xlfn.SUMIFS(SIMS_2018!L:L,SIMS_2018!$A:$A,'1.4 Pokles za 2 roky'!$A21,SIMS_2018!$F:$F,"*1*")</f>
        <v>18</v>
      </c>
      <c r="G21" s="297">
        <f t="shared" si="1"/>
        <v>-0.41935483870967744</v>
      </c>
      <c r="H21" s="295">
        <f>_xlfn.SUMIFS(SIMS_2017!L:L,SIMS_2017!A:A,'1.4 Pokles za 2 roky'!$A21,SIMS_2017!F:F,"*1*")</f>
        <v>31</v>
      </c>
      <c r="I21" s="293" t="s">
        <v>373</v>
      </c>
      <c r="K21" s="1098">
        <f>H21*0.9</f>
        <v>27.900000000000002</v>
      </c>
      <c r="L21" s="1099">
        <f>IF(K21-D21&lt;0,"",K21-D21)</f>
        <v>14.900000000000002</v>
      </c>
      <c r="N21" s="1108">
        <f t="shared" si="2"/>
        <v>-14.900000000000002</v>
      </c>
    </row>
    <row r="22" spans="1:8" ht="14.25">
      <c r="A22" s="298"/>
      <c r="B22" s="299" t="s">
        <v>395</v>
      </c>
      <c r="C22" s="300"/>
      <c r="D22" s="551">
        <f>SUM(D4:D21)</f>
        <v>13575</v>
      </c>
      <c r="E22" s="305">
        <f t="shared" si="0"/>
        <v>0.04959987629025399</v>
      </c>
      <c r="F22" s="551">
        <f>SUM(F4:F21)</f>
        <v>12933.5</v>
      </c>
      <c r="G22" s="305">
        <f t="shared" si="1"/>
        <v>-0.0034672727973186425</v>
      </c>
      <c r="H22" s="302">
        <f>SUM(H4:H21)</f>
        <v>12978.5</v>
      </c>
    </row>
    <row r="23" spans="1:8" ht="9.75">
      <c r="A23" s="958">
        <v>1100</v>
      </c>
      <c r="B23" s="959" t="s">
        <v>107</v>
      </c>
      <c r="C23" s="960"/>
      <c r="D23" s="962">
        <f>SIMS_2019!L722</f>
        <v>3</v>
      </c>
      <c r="E23" s="960"/>
      <c r="F23" s="962">
        <v>12979</v>
      </c>
      <c r="G23" s="960"/>
      <c r="H23" s="962">
        <f>SIMS_2017!L567+SIMS_2017!L569+SIMS_2017!L571+SIMS_2017!L573</f>
        <v>42</v>
      </c>
    </row>
    <row r="24" spans="2:8" ht="9.75">
      <c r="B24" s="552" t="s">
        <v>671</v>
      </c>
      <c r="C24" s="308"/>
      <c r="D24" s="308"/>
      <c r="E24" s="309">
        <v>-0.2</v>
      </c>
      <c r="F24" s="308"/>
      <c r="G24" s="309">
        <v>-0.2</v>
      </c>
      <c r="H24" s="598"/>
    </row>
  </sheetData>
  <sheetProtection/>
  <mergeCells count="2">
    <mergeCell ref="A3:C3"/>
    <mergeCell ref="K1:L2"/>
  </mergeCells>
  <conditionalFormatting sqref="G4:G22 E4:E22">
    <cfRule type="cellIs" priority="12" dxfId="23" operator="lessThan" stopIfTrue="1">
      <formula>'1.4 Pokles za 2 roky'!#REF!</formula>
    </cfRule>
  </conditionalFormatting>
  <conditionalFormatting sqref="E4:E22 G4:G22">
    <cfRule type="cellIs" priority="1" dxfId="23" operator="lessThan" stopIfTrue="1">
      <formula>-0.2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0" r:id="rId1"/>
  <headerFooter>
    <oddHeader>&amp;C&amp;14&amp;A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40"/>
  <sheetViews>
    <sheetView showZeros="0" workbookViewId="0" topLeftCell="A1">
      <selection activeCell="A53" sqref="A53"/>
    </sheetView>
  </sheetViews>
  <sheetFormatPr defaultColWidth="9.33203125" defaultRowHeight="9.75" customHeight="1"/>
  <cols>
    <col min="1" max="1" width="13" style="1" customWidth="1"/>
    <col min="2" max="2" width="17.16015625" style="1" customWidth="1"/>
    <col min="3" max="3" width="28.5" style="1" bestFit="1" customWidth="1"/>
    <col min="4" max="4" width="18.16015625" style="1" bestFit="1" customWidth="1"/>
    <col min="5" max="7" width="9.33203125" style="1" customWidth="1"/>
    <col min="8" max="8" width="10.83203125" style="1" bestFit="1" customWidth="1"/>
    <col min="9" max="16384" width="9.33203125" style="1" customWidth="1"/>
  </cols>
  <sheetData>
    <row r="2" spans="3:4" ht="14.25" customHeight="1">
      <c r="C2" s="1183" t="s">
        <v>394</v>
      </c>
      <c r="D2" s="1183"/>
    </row>
    <row r="3" spans="3:4" ht="9.75">
      <c r="C3" s="216" t="s">
        <v>394</v>
      </c>
      <c r="D3" s="216" t="s">
        <v>642</v>
      </c>
    </row>
    <row r="4" spans="1:4" ht="10.5" customHeight="1">
      <c r="A4" s="13" t="s">
        <v>376</v>
      </c>
      <c r="B4" s="14" t="s">
        <v>371</v>
      </c>
      <c r="C4" s="451"/>
      <c r="D4" s="449">
        <f aca="true" t="shared" si="0" ref="D4:D19">ROUND(C4/C$22*D$30,0)</f>
        <v>0</v>
      </c>
    </row>
    <row r="5" spans="1:4" ht="10.5" customHeight="1">
      <c r="A5" s="13" t="s">
        <v>377</v>
      </c>
      <c r="B5" s="14" t="s">
        <v>68</v>
      </c>
      <c r="C5" s="451"/>
      <c r="D5" s="449">
        <f t="shared" si="0"/>
        <v>0</v>
      </c>
    </row>
    <row r="6" spans="1:4" ht="10.5" customHeight="1">
      <c r="A6" s="13" t="s">
        <v>378</v>
      </c>
      <c r="B6" s="14" t="s">
        <v>372</v>
      </c>
      <c r="C6" s="451"/>
      <c r="D6" s="449">
        <f t="shared" si="0"/>
        <v>0</v>
      </c>
    </row>
    <row r="7" spans="1:4" ht="10.5" customHeight="1">
      <c r="A7" s="13" t="s">
        <v>379</v>
      </c>
      <c r="B7" s="14" t="s">
        <v>42</v>
      </c>
      <c r="C7" s="451"/>
      <c r="D7" s="449">
        <f t="shared" si="0"/>
        <v>0</v>
      </c>
    </row>
    <row r="8" spans="1:4" ht="10.5" customHeight="1">
      <c r="A8" s="13" t="s">
        <v>380</v>
      </c>
      <c r="B8" s="14" t="s">
        <v>8</v>
      </c>
      <c r="C8" s="451"/>
      <c r="D8" s="449">
        <f t="shared" si="0"/>
        <v>0</v>
      </c>
    </row>
    <row r="9" spans="1:4" ht="10.5" customHeight="1">
      <c r="A9" s="13" t="s">
        <v>381</v>
      </c>
      <c r="B9" s="14" t="s">
        <v>22</v>
      </c>
      <c r="C9" s="451"/>
      <c r="D9" s="449">
        <f t="shared" si="0"/>
        <v>0</v>
      </c>
    </row>
    <row r="10" spans="1:4" ht="10.5" customHeight="1">
      <c r="A10" s="13" t="s">
        <v>382</v>
      </c>
      <c r="B10" s="14" t="s">
        <v>21</v>
      </c>
      <c r="C10" s="451"/>
      <c r="D10" s="449">
        <f t="shared" si="0"/>
        <v>0</v>
      </c>
    </row>
    <row r="11" spans="1:4" ht="10.5" customHeight="1">
      <c r="A11" s="13" t="s">
        <v>383</v>
      </c>
      <c r="B11" s="14" t="s">
        <v>23</v>
      </c>
      <c r="C11" s="451"/>
      <c r="D11" s="449">
        <f t="shared" si="0"/>
        <v>0</v>
      </c>
    </row>
    <row r="12" spans="1:4" ht="10.5" customHeight="1">
      <c r="A12" s="13" t="s">
        <v>384</v>
      </c>
      <c r="B12" s="14" t="s">
        <v>24</v>
      </c>
      <c r="C12" s="451"/>
      <c r="D12" s="449">
        <f t="shared" si="0"/>
        <v>0</v>
      </c>
    </row>
    <row r="13" spans="1:4" ht="10.5" customHeight="1">
      <c r="A13" s="13" t="s">
        <v>385</v>
      </c>
      <c r="B13" s="14" t="s">
        <v>31</v>
      </c>
      <c r="C13" s="451"/>
      <c r="D13" s="449">
        <f t="shared" si="0"/>
        <v>0</v>
      </c>
    </row>
    <row r="14" spans="1:4" ht="10.5" customHeight="1">
      <c r="A14" s="13" t="s">
        <v>386</v>
      </c>
      <c r="B14" s="14" t="s">
        <v>37</v>
      </c>
      <c r="C14" s="451">
        <f>H38</f>
        <v>9287.18</v>
      </c>
      <c r="D14" s="449">
        <f t="shared" si="0"/>
        <v>3688576</v>
      </c>
    </row>
    <row r="15" spans="1:4" ht="10.5" customHeight="1">
      <c r="A15" s="13" t="s">
        <v>387</v>
      </c>
      <c r="B15" s="14" t="s">
        <v>72</v>
      </c>
      <c r="C15" s="451"/>
      <c r="D15" s="449">
        <f t="shared" si="0"/>
        <v>0</v>
      </c>
    </row>
    <row r="16" spans="1:4" ht="10.5" customHeight="1">
      <c r="A16" s="13" t="s">
        <v>388</v>
      </c>
      <c r="B16" s="14" t="s">
        <v>81</v>
      </c>
      <c r="C16" s="451">
        <f>H39</f>
        <v>10.72</v>
      </c>
      <c r="D16" s="449">
        <f t="shared" si="0"/>
        <v>4258</v>
      </c>
    </row>
    <row r="17" spans="1:4" ht="10.5" customHeight="1">
      <c r="A17" s="13" t="s">
        <v>389</v>
      </c>
      <c r="B17" s="14" t="s">
        <v>87</v>
      </c>
      <c r="C17" s="451">
        <f>H40</f>
        <v>3224.6</v>
      </c>
      <c r="D17" s="449">
        <f t="shared" si="0"/>
        <v>1280710</v>
      </c>
    </row>
    <row r="18" spans="1:4" ht="10.5" customHeight="1">
      <c r="A18" s="13" t="s">
        <v>390</v>
      </c>
      <c r="B18" s="14" t="s">
        <v>45</v>
      </c>
      <c r="C18" s="451">
        <f>H36</f>
        <v>1471.7</v>
      </c>
      <c r="D18" s="449">
        <f t="shared" si="0"/>
        <v>584513</v>
      </c>
    </row>
    <row r="19" spans="1:4" ht="10.5" customHeight="1">
      <c r="A19" s="13" t="s">
        <v>391</v>
      </c>
      <c r="B19" s="14" t="s">
        <v>94</v>
      </c>
      <c r="C19" s="451"/>
      <c r="D19" s="449">
        <f t="shared" si="0"/>
        <v>0</v>
      </c>
    </row>
    <row r="20" spans="1:9" ht="10.5" customHeight="1">
      <c r="A20" s="13" t="s">
        <v>392</v>
      </c>
      <c r="B20" s="14" t="s">
        <v>58</v>
      </c>
      <c r="C20" s="451">
        <f>H35</f>
        <v>1206.62</v>
      </c>
      <c r="D20" s="449">
        <f>D30-SUM(D4:D19)</f>
        <v>479231</v>
      </c>
      <c r="I20" s="391"/>
    </row>
    <row r="21" spans="1:4" ht="10.5" customHeight="1">
      <c r="A21" s="13" t="s">
        <v>393</v>
      </c>
      <c r="B21" s="14" t="s">
        <v>373</v>
      </c>
      <c r="C21" s="451"/>
      <c r="D21" s="449">
        <f>ROUND(C21/C$22*D$30,0)</f>
        <v>0</v>
      </c>
    </row>
    <row r="22" spans="3:4" ht="10.5" customHeight="1">
      <c r="C22" s="423">
        <f>SUM(C4:C21)</f>
        <v>15200.82</v>
      </c>
      <c r="D22" s="450">
        <f>SUM(D4:D21)</f>
        <v>6037288</v>
      </c>
    </row>
    <row r="23" ht="10.5" customHeight="1"/>
    <row r="24" ht="10.5" customHeight="1"/>
    <row r="25" ht="10.5" customHeight="1">
      <c r="C25" s="1" t="s">
        <v>601</v>
      </c>
    </row>
    <row r="26" spans="3:9" ht="10.5" customHeight="1">
      <c r="C26" s="175" t="s">
        <v>651</v>
      </c>
      <c r="D26" s="508">
        <v>1939443434</v>
      </c>
      <c r="E26"/>
      <c r="I26" s="368"/>
    </row>
    <row r="27" spans="3:9" ht="10.5" customHeight="1">
      <c r="C27" s="175" t="s">
        <v>653</v>
      </c>
      <c r="D27" s="1064">
        <v>0.03</v>
      </c>
      <c r="E27"/>
      <c r="I27" s="369"/>
    </row>
    <row r="28" spans="3:5" ht="10.5" customHeight="1">
      <c r="C28" s="175" t="s">
        <v>652</v>
      </c>
      <c r="D28" s="508">
        <f>D26*D27</f>
        <v>58183303.019999996</v>
      </c>
      <c r="E28"/>
    </row>
    <row r="29" spans="3:9" ht="10.5" customHeight="1">
      <c r="C29" s="175" t="s">
        <v>655</v>
      </c>
      <c r="D29" s="1064">
        <v>0.10376324</v>
      </c>
      <c r="E29"/>
      <c r="I29" s="368"/>
    </row>
    <row r="30" spans="3:5" ht="10.5" customHeight="1">
      <c r="C30" s="175" t="s">
        <v>654</v>
      </c>
      <c r="D30" s="508">
        <f>ROUND(D28*D29,0)</f>
        <v>6037288</v>
      </c>
      <c r="E30"/>
    </row>
    <row r="34" spans="1:8" ht="25.5">
      <c r="A34" s="674" t="s">
        <v>717</v>
      </c>
      <c r="B34" s="674" t="s">
        <v>732</v>
      </c>
      <c r="C34" s="674">
        <v>2014</v>
      </c>
      <c r="D34" s="674">
        <v>2015</v>
      </c>
      <c r="E34" s="674">
        <v>2016</v>
      </c>
      <c r="F34" s="674">
        <v>2017</v>
      </c>
      <c r="G34" s="674">
        <v>2018</v>
      </c>
      <c r="H34" s="674" t="s">
        <v>5</v>
      </c>
    </row>
    <row r="35" spans="1:8" ht="14.25">
      <c r="A35" s="672" t="s">
        <v>715</v>
      </c>
      <c r="B35" s="672" t="s">
        <v>271</v>
      </c>
      <c r="C35" s="673">
        <v>218.5</v>
      </c>
      <c r="D35" s="673">
        <v>396.72</v>
      </c>
      <c r="E35" s="673">
        <v>134.1</v>
      </c>
      <c r="F35" s="673">
        <v>161</v>
      </c>
      <c r="G35" s="673">
        <v>296.3</v>
      </c>
      <c r="H35" s="673">
        <v>1206.62</v>
      </c>
    </row>
    <row r="36" spans="1:8" ht="14.25">
      <c r="A36" s="672" t="s">
        <v>715</v>
      </c>
      <c r="B36" s="672" t="s">
        <v>262</v>
      </c>
      <c r="C36" s="673">
        <v>41</v>
      </c>
      <c r="D36" s="673">
        <v>76.5</v>
      </c>
      <c r="E36" s="673">
        <v>179.2</v>
      </c>
      <c r="F36" s="673">
        <v>461</v>
      </c>
      <c r="G36" s="673">
        <v>714</v>
      </c>
      <c r="H36" s="673">
        <v>1471.7</v>
      </c>
    </row>
    <row r="37" spans="1:8" ht="14.25">
      <c r="A37" s="672" t="s">
        <v>715</v>
      </c>
      <c r="B37" s="672" t="s">
        <v>368</v>
      </c>
      <c r="C37" s="673">
        <v>0</v>
      </c>
      <c r="D37" s="673">
        <v>0</v>
      </c>
      <c r="E37" s="673">
        <v>0</v>
      </c>
      <c r="F37" s="673">
        <v>0</v>
      </c>
      <c r="G37" s="673">
        <v>0</v>
      </c>
      <c r="H37" s="673">
        <v>0</v>
      </c>
    </row>
    <row r="38" spans="1:8" ht="14.25">
      <c r="A38" s="672" t="s">
        <v>715</v>
      </c>
      <c r="B38" s="672" t="s">
        <v>221</v>
      </c>
      <c r="C38" s="673">
        <v>1410.66</v>
      </c>
      <c r="D38" s="673">
        <v>2943.76</v>
      </c>
      <c r="E38" s="673">
        <v>1958.24</v>
      </c>
      <c r="F38" s="673">
        <v>2592.52</v>
      </c>
      <c r="G38" s="673">
        <v>382</v>
      </c>
      <c r="H38" s="673">
        <v>9287.18</v>
      </c>
    </row>
    <row r="39" spans="1:8" ht="14.25">
      <c r="A39" s="672" t="s">
        <v>715</v>
      </c>
      <c r="B39" s="672" t="s">
        <v>353</v>
      </c>
      <c r="C39" s="672" t="s">
        <v>716</v>
      </c>
      <c r="D39" s="672" t="s">
        <v>716</v>
      </c>
      <c r="E39" s="672" t="s">
        <v>716</v>
      </c>
      <c r="F39" s="672">
        <v>2.72</v>
      </c>
      <c r="G39" s="673">
        <v>8</v>
      </c>
      <c r="H39" s="673">
        <v>10.72</v>
      </c>
    </row>
    <row r="40" spans="1:8" ht="14.25">
      <c r="A40" s="672" t="s">
        <v>715</v>
      </c>
      <c r="B40" s="672" t="s">
        <v>108</v>
      </c>
      <c r="C40" s="673">
        <v>286</v>
      </c>
      <c r="D40" s="673">
        <v>603</v>
      </c>
      <c r="E40" s="673">
        <v>816.5</v>
      </c>
      <c r="F40" s="673">
        <v>724.2</v>
      </c>
      <c r="G40" s="673">
        <v>794.9</v>
      </c>
      <c r="H40" s="673">
        <v>3224.6</v>
      </c>
    </row>
    <row r="51" ht="51.75" customHeight="1"/>
    <row r="52" ht="12.75" customHeight="1"/>
  </sheetData>
  <sheetProtection/>
  <mergeCells count="1">
    <mergeCell ref="C2:D2"/>
  </mergeCells>
  <printOptions/>
  <pageMargins left="0.35433070866141736" right="0.1968503937007874" top="0.6692913385826772" bottom="0.4330708661417323" header="0.31496062992125984" footer="0.1968503937007874"/>
  <pageSetup fitToHeight="0" fitToWidth="1" horizontalDpi="600" verticalDpi="600" orientation="landscape" paperSize="9" r:id="rId1"/>
  <headerFooter alignWithMargins="0">
    <oddHeader>&amp;C&amp;14&amp;A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112"/>
  <sheetViews>
    <sheetView workbookViewId="0" topLeftCell="A1">
      <pane xSplit="2" ySplit="7" topLeftCell="C45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83203125" defaultRowHeight="10.5"/>
  <cols>
    <col min="1" max="1" width="9.83203125" style="425" customWidth="1"/>
    <col min="2" max="2" width="10.33203125" style="425" customWidth="1"/>
    <col min="3" max="3" width="13.33203125" style="425" bestFit="1" customWidth="1"/>
    <col min="4" max="4" width="18.83203125" style="425" bestFit="1" customWidth="1"/>
    <col min="5" max="5" width="11.33203125" style="425" customWidth="1"/>
    <col min="6" max="6" width="10.33203125" style="425" customWidth="1"/>
    <col min="7" max="7" width="8.33203125" style="425" customWidth="1"/>
    <col min="8" max="8" width="10.83203125" style="443" bestFit="1" customWidth="1"/>
    <col min="9" max="9" width="8.5" style="443" bestFit="1" customWidth="1"/>
    <col min="10" max="10" width="8" style="425" bestFit="1" customWidth="1"/>
    <col min="11" max="11" width="8.5" style="425" bestFit="1" customWidth="1"/>
    <col min="12" max="12" width="7.66015625" style="443" bestFit="1" customWidth="1"/>
    <col min="13" max="13" width="8.16015625" style="443" bestFit="1" customWidth="1"/>
    <col min="14" max="14" width="9" style="443" bestFit="1" customWidth="1"/>
    <col min="15" max="15" width="8.5" style="443" customWidth="1"/>
    <col min="16" max="16" width="9.66015625" style="443" customWidth="1"/>
    <col min="17" max="17" width="11.16015625" style="443" customWidth="1"/>
    <col min="18" max="18" width="10.66015625" style="443" bestFit="1" customWidth="1"/>
    <col min="19" max="19" width="11.16015625" style="443" customWidth="1"/>
    <col min="20" max="20" width="10.5" style="443" customWidth="1"/>
    <col min="21" max="21" width="11.16015625" style="443" customWidth="1"/>
    <col min="22" max="22" width="10.5" style="443" customWidth="1"/>
    <col min="23" max="23" width="11.16015625" style="443" customWidth="1"/>
    <col min="24" max="24" width="11.5" style="425" bestFit="1" customWidth="1"/>
    <col min="25" max="25" width="8.5" style="425" bestFit="1" customWidth="1"/>
    <col min="26" max="26" width="7.16015625" style="443" customWidth="1"/>
    <col min="27" max="27" width="8.5" style="443" bestFit="1" customWidth="1"/>
    <col min="28" max="28" width="10" style="443" customWidth="1"/>
    <col min="29" max="29" width="8.5" style="443" customWidth="1"/>
    <col min="30" max="30" width="7.83203125" style="443" customWidth="1"/>
    <col min="31" max="31" width="8.5" style="443" bestFit="1" customWidth="1"/>
    <col min="32" max="32" width="11.66015625" style="443" customWidth="1"/>
    <col min="33" max="33" width="13" style="443" customWidth="1"/>
    <col min="34" max="34" width="10.83203125" style="443" customWidth="1"/>
    <col min="35" max="35" width="12.16015625" style="443" customWidth="1"/>
    <col min="36" max="36" width="9.5" style="443" customWidth="1"/>
    <col min="37" max="37" width="9.83203125" style="443" customWidth="1"/>
    <col min="38" max="38" width="15.16015625" style="425" customWidth="1"/>
    <col min="39" max="39" width="17" style="425" bestFit="1" customWidth="1"/>
    <col min="40" max="40" width="6" style="425" customWidth="1"/>
    <col min="41" max="41" width="8.83203125" style="425" bestFit="1" customWidth="1"/>
    <col min="42" max="42" width="14.33203125" style="425" customWidth="1"/>
    <col min="43" max="16384" width="9.83203125" style="425" customWidth="1"/>
  </cols>
  <sheetData>
    <row r="1" spans="1:37" ht="18.75">
      <c r="A1" s="427"/>
      <c r="H1" s="426"/>
      <c r="I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</row>
    <row r="2" spans="1:37" ht="27.75">
      <c r="A2" s="866" t="s">
        <v>1264</v>
      </c>
      <c r="H2" s="425"/>
      <c r="I2" s="425"/>
      <c r="L2" s="425"/>
      <c r="M2" s="425"/>
      <c r="N2" s="425"/>
      <c r="O2" s="425"/>
      <c r="P2" s="425"/>
      <c r="Q2" s="425"/>
      <c r="R2" s="426"/>
      <c r="S2" s="426"/>
      <c r="T2" s="426"/>
      <c r="U2" s="426"/>
      <c r="V2" s="426"/>
      <c r="W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</row>
    <row r="3" spans="8:37" ht="12.75" thickBot="1">
      <c r="H3" s="425"/>
      <c r="I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</row>
    <row r="4" spans="1:39" s="428" customFormat="1" ht="46.5" customHeight="1">
      <c r="A4" s="1196"/>
      <c r="B4" s="1197"/>
      <c r="C4" s="1213" t="s">
        <v>683</v>
      </c>
      <c r="D4" s="1214"/>
      <c r="E4" s="1200" t="s">
        <v>734</v>
      </c>
      <c r="F4" s="1201"/>
      <c r="G4" s="1201"/>
      <c r="H4" s="1201"/>
      <c r="I4" s="1202"/>
      <c r="J4" s="1206" t="s">
        <v>627</v>
      </c>
      <c r="K4" s="1207"/>
      <c r="L4" s="1210" t="s">
        <v>728</v>
      </c>
      <c r="M4" s="1211"/>
      <c r="N4" s="1211"/>
      <c r="O4" s="1212"/>
      <c r="P4" s="1186" t="s">
        <v>628</v>
      </c>
      <c r="Q4" s="1187"/>
      <c r="R4" s="1187"/>
      <c r="S4" s="1187"/>
      <c r="T4" s="1187"/>
      <c r="U4" s="1187"/>
      <c r="V4" s="1187"/>
      <c r="W4" s="1187"/>
      <c r="X4" s="1187"/>
      <c r="Y4" s="1188"/>
      <c r="Z4" s="1192" t="s">
        <v>396</v>
      </c>
      <c r="AA4" s="1193"/>
      <c r="AB4" s="1192" t="s">
        <v>735</v>
      </c>
      <c r="AC4" s="1193"/>
      <c r="AD4" s="1192" t="s">
        <v>688</v>
      </c>
      <c r="AE4" s="1193"/>
      <c r="AF4" s="1217" t="s">
        <v>397</v>
      </c>
      <c r="AG4" s="1218"/>
      <c r="AH4" s="1217" t="s">
        <v>398</v>
      </c>
      <c r="AI4" s="1218"/>
      <c r="AJ4" s="1192" t="s">
        <v>689</v>
      </c>
      <c r="AK4" s="1193"/>
      <c r="AL4" s="1221" t="s">
        <v>733</v>
      </c>
      <c r="AM4" s="1219" t="s">
        <v>731</v>
      </c>
    </row>
    <row r="5" spans="1:39" s="424" customFormat="1" ht="48" customHeight="1" thickBot="1">
      <c r="A5" s="1198"/>
      <c r="B5" s="1199"/>
      <c r="C5" s="1215"/>
      <c r="D5" s="1216"/>
      <c r="E5" s="1203"/>
      <c r="F5" s="1204"/>
      <c r="G5" s="1204"/>
      <c r="H5" s="1204"/>
      <c r="I5" s="1205"/>
      <c r="J5" s="1208"/>
      <c r="K5" s="1209"/>
      <c r="L5" s="429" t="s">
        <v>729</v>
      </c>
      <c r="M5" s="430" t="s">
        <v>730</v>
      </c>
      <c r="N5" s="431" t="s">
        <v>631</v>
      </c>
      <c r="O5" s="482" t="s">
        <v>5</v>
      </c>
      <c r="P5" s="1189"/>
      <c r="Q5" s="1190"/>
      <c r="R5" s="1190"/>
      <c r="S5" s="1190"/>
      <c r="T5" s="1190"/>
      <c r="U5" s="1190"/>
      <c r="V5" s="1190"/>
      <c r="W5" s="1190"/>
      <c r="X5" s="1190"/>
      <c r="Y5" s="1191"/>
      <c r="Z5" s="1194"/>
      <c r="AA5" s="1195"/>
      <c r="AB5" s="1194"/>
      <c r="AC5" s="1195"/>
      <c r="AD5" s="1194"/>
      <c r="AE5" s="1195" t="s">
        <v>5</v>
      </c>
      <c r="AF5" s="867" t="s">
        <v>632</v>
      </c>
      <c r="AG5" s="868" t="s">
        <v>5</v>
      </c>
      <c r="AH5" s="867" t="s">
        <v>644</v>
      </c>
      <c r="AI5" s="868" t="s">
        <v>5</v>
      </c>
      <c r="AJ5" s="1194"/>
      <c r="AK5" s="1195"/>
      <c r="AL5" s="1222"/>
      <c r="AM5" s="1220"/>
    </row>
    <row r="6" spans="1:39" s="424" customFormat="1" ht="27" customHeight="1" thickBot="1">
      <c r="A6" s="1223" t="s">
        <v>633</v>
      </c>
      <c r="B6" s="1224"/>
      <c r="C6" s="432"/>
      <c r="D6" s="919">
        <v>0.29</v>
      </c>
      <c r="E6" s="476"/>
      <c r="F6" s="477"/>
      <c r="G6" s="477"/>
      <c r="H6" s="477"/>
      <c r="I6" s="919">
        <v>0.07</v>
      </c>
      <c r="J6" s="432"/>
      <c r="K6" s="919">
        <v>0.03</v>
      </c>
      <c r="L6" s="433"/>
      <c r="M6" s="434"/>
      <c r="N6" s="434"/>
      <c r="O6" s="919">
        <v>0.05</v>
      </c>
      <c r="P6" s="475"/>
      <c r="Q6" s="927"/>
      <c r="R6" s="927"/>
      <c r="S6" s="927"/>
      <c r="T6" s="927"/>
      <c r="U6" s="927"/>
      <c r="V6" s="927"/>
      <c r="W6" s="927"/>
      <c r="X6" s="927"/>
      <c r="Y6" s="919">
        <v>0.1</v>
      </c>
      <c r="Z6" s="432"/>
      <c r="AA6" s="919">
        <v>0.02</v>
      </c>
      <c r="AB6" s="432"/>
      <c r="AC6" s="919">
        <v>0.08</v>
      </c>
      <c r="AD6" s="475"/>
      <c r="AE6" s="919">
        <v>0.1</v>
      </c>
      <c r="AF6" s="475"/>
      <c r="AG6" s="919">
        <v>0.12</v>
      </c>
      <c r="AH6" s="475"/>
      <c r="AI6" s="919">
        <v>0.13</v>
      </c>
      <c r="AJ6" s="432"/>
      <c r="AK6" s="919">
        <v>0.01</v>
      </c>
      <c r="AL6" s="920">
        <f>SUM(C6:AK6)</f>
        <v>1</v>
      </c>
      <c r="AM6" s="1220"/>
    </row>
    <row r="7" spans="1:42" s="436" customFormat="1" ht="30" thickBot="1">
      <c r="A7" s="1184" t="s">
        <v>634</v>
      </c>
      <c r="B7" s="1185"/>
      <c r="C7" s="432"/>
      <c r="D7" s="481"/>
      <c r="E7" s="478" t="s">
        <v>635</v>
      </c>
      <c r="F7" s="479" t="s">
        <v>636</v>
      </c>
      <c r="G7" s="479" t="s">
        <v>637</v>
      </c>
      <c r="H7" s="479" t="s">
        <v>5</v>
      </c>
      <c r="I7" s="480">
        <f>SUM(I8:I25)</f>
        <v>0.9999999999999999</v>
      </c>
      <c r="J7" s="432"/>
      <c r="K7" s="481">
        <f>SUM(K8:K25)</f>
        <v>1</v>
      </c>
      <c r="L7" s="483"/>
      <c r="M7" s="484"/>
      <c r="N7" s="484"/>
      <c r="O7" s="553">
        <f>SUM(O8:O25)</f>
        <v>1</v>
      </c>
      <c r="P7" s="478" t="s">
        <v>719</v>
      </c>
      <c r="Q7" s="926" t="s">
        <v>720</v>
      </c>
      <c r="R7" s="926" t="s">
        <v>721</v>
      </c>
      <c r="S7" s="926" t="s">
        <v>722</v>
      </c>
      <c r="T7" s="926" t="s">
        <v>723</v>
      </c>
      <c r="U7" s="926" t="s">
        <v>724</v>
      </c>
      <c r="V7" s="926" t="s">
        <v>725</v>
      </c>
      <c r="W7" s="926" t="s">
        <v>726</v>
      </c>
      <c r="X7" s="926" t="s">
        <v>727</v>
      </c>
      <c r="Y7" s="485">
        <f>SUM(Y8:Y25)</f>
        <v>1</v>
      </c>
      <c r="Z7" s="432"/>
      <c r="AA7" s="485">
        <f>SUM(AA8:AA25)</f>
        <v>1.0000000000000002</v>
      </c>
      <c r="AB7" s="432"/>
      <c r="AC7" s="485">
        <f>SUM(AC8:AC25)</f>
        <v>1</v>
      </c>
      <c r="AD7" s="475"/>
      <c r="AE7" s="485">
        <f>SUM(AE8:AE25)</f>
        <v>0.9999999999999998</v>
      </c>
      <c r="AF7" s="475"/>
      <c r="AG7" s="485">
        <f>SUM(AG8:AG25)</f>
        <v>1</v>
      </c>
      <c r="AH7" s="475"/>
      <c r="AI7" s="485">
        <f>SUM(AI8:AI25)</f>
        <v>0.9999999999999999</v>
      </c>
      <c r="AJ7" s="432"/>
      <c r="AK7" s="485">
        <f>SUM(AK8:AK25)</f>
        <v>1</v>
      </c>
      <c r="AL7" s="486">
        <f>SUM(AL8:AL25)</f>
        <v>1</v>
      </c>
      <c r="AM7" s="921">
        <f>Bilance!C83-'1.5.a) RUV'!D22</f>
        <v>762722984.4509702</v>
      </c>
      <c r="AN7" s="435"/>
      <c r="AP7" s="437"/>
    </row>
    <row r="8" spans="1:41" s="424" customFormat="1" ht="12.75" customHeight="1">
      <c r="A8" s="554" t="s">
        <v>376</v>
      </c>
      <c r="B8" s="869" t="s">
        <v>371</v>
      </c>
      <c r="C8" s="881"/>
      <c r="D8" s="880">
        <f>D28</f>
        <v>0.004985022647766974</v>
      </c>
      <c r="E8" s="878"/>
      <c r="F8" s="878"/>
      <c r="G8" s="878"/>
      <c r="H8" s="879"/>
      <c r="I8" s="880">
        <f>+I48*0.5+I68*0.3+I88*0.2</f>
        <v>0.0041720661720396094</v>
      </c>
      <c r="J8" s="881"/>
      <c r="K8" s="880">
        <f aca="true" t="shared" si="0" ref="K8:K25">+K48</f>
        <v>0</v>
      </c>
      <c r="L8" s="882"/>
      <c r="M8" s="883"/>
      <c r="N8" s="884"/>
      <c r="O8" s="880">
        <f>+O28*0.5+O48*0.3+O68*0.2</f>
        <v>0.011324746673840558</v>
      </c>
      <c r="P8" s="885"/>
      <c r="Q8" s="885"/>
      <c r="R8" s="885"/>
      <c r="S8" s="885"/>
      <c r="T8" s="885"/>
      <c r="U8" s="885"/>
      <c r="V8" s="885"/>
      <c r="W8" s="885"/>
      <c r="X8" s="886"/>
      <c r="Y8" s="880">
        <f>Y28</f>
        <v>0.008977184768052537</v>
      </c>
      <c r="Z8" s="887"/>
      <c r="AA8" s="880">
        <f>AA28</f>
        <v>0.009201445941505093</v>
      </c>
      <c r="AB8" s="888"/>
      <c r="AC8" s="880">
        <f>AC28</f>
        <v>0</v>
      </c>
      <c r="AD8" s="887"/>
      <c r="AE8" s="880">
        <f>AE28</f>
        <v>0.0032293702727968043</v>
      </c>
      <c r="AF8" s="887"/>
      <c r="AG8" s="880">
        <f aca="true" t="shared" si="1" ref="AG8:AG25">+AG28*0.5+AG48*0.3+AG68*0.2</f>
        <v>0.004648058440977088</v>
      </c>
      <c r="AH8" s="887"/>
      <c r="AI8" s="880">
        <f aca="true" t="shared" si="2" ref="AI8:AI25">+AI28*0.5+AI48*0.3+AI68*0.2</f>
        <v>0.004349796788382909</v>
      </c>
      <c r="AJ8" s="887"/>
      <c r="AK8" s="880">
        <f aca="true" t="shared" si="3" ref="AK8:AK25">AK28</f>
        <v>0.009342489381894551</v>
      </c>
      <c r="AL8" s="889">
        <f>SUMPRODUCT(C$6:AK$6,C8:AK8)</f>
        <v>0.004925288445728234</v>
      </c>
      <c r="AM8" s="922">
        <f>ROUND(AL8/AL$7*AM$7,0)</f>
        <v>3756631</v>
      </c>
      <c r="AN8" s="924" t="s">
        <v>376</v>
      </c>
      <c r="AO8" s="925" t="s">
        <v>371</v>
      </c>
    </row>
    <row r="9" spans="1:41" s="424" customFormat="1" ht="12.75" customHeight="1">
      <c r="A9" s="438" t="s">
        <v>377</v>
      </c>
      <c r="B9" s="870" t="s">
        <v>68</v>
      </c>
      <c r="C9" s="881"/>
      <c r="D9" s="872">
        <f aca="true" t="shared" si="4" ref="D9:D25">D29</f>
        <v>0.004750453347594301</v>
      </c>
      <c r="E9" s="878"/>
      <c r="F9" s="878"/>
      <c r="G9" s="878"/>
      <c r="H9" s="878"/>
      <c r="I9" s="872">
        <f>+I49*0.5+I69*0.3+I89*0.2</f>
        <v>0.017445086735613197</v>
      </c>
      <c r="J9" s="881"/>
      <c r="K9" s="872">
        <f t="shared" si="0"/>
        <v>0.021316174565123282</v>
      </c>
      <c r="L9" s="890"/>
      <c r="M9" s="891"/>
      <c r="N9" s="892"/>
      <c r="O9" s="872">
        <f aca="true" t="shared" si="5" ref="O9:O25">+O29*0.5+O49*0.3+O69*0.2</f>
        <v>0.010358174322808274</v>
      </c>
      <c r="P9" s="885"/>
      <c r="Q9" s="885"/>
      <c r="R9" s="885"/>
      <c r="S9" s="885"/>
      <c r="T9" s="885"/>
      <c r="U9" s="885"/>
      <c r="V9" s="885"/>
      <c r="W9" s="885"/>
      <c r="X9" s="886"/>
      <c r="Y9" s="872">
        <f aca="true" t="shared" si="6" ref="Y9:Y25">Y29</f>
        <v>0.0031759662337230874</v>
      </c>
      <c r="Z9" s="885"/>
      <c r="AA9" s="872">
        <f aca="true" t="shared" si="7" ref="AA9:AC25">AA29</f>
        <v>0.005422280644101216</v>
      </c>
      <c r="AB9" s="893"/>
      <c r="AC9" s="872">
        <f t="shared" si="7"/>
        <v>0.0021141649048625794</v>
      </c>
      <c r="AD9" s="885"/>
      <c r="AE9" s="880">
        <f aca="true" t="shared" si="8" ref="AE9:AE25">AE29</f>
        <v>0.014489674513469872</v>
      </c>
      <c r="AF9" s="885"/>
      <c r="AG9" s="872">
        <f t="shared" si="1"/>
        <v>0.005917626447564989</v>
      </c>
      <c r="AH9" s="885"/>
      <c r="AI9" s="872">
        <f t="shared" si="2"/>
        <v>0.007584792716880274</v>
      </c>
      <c r="AJ9" s="885"/>
      <c r="AK9" s="872">
        <f t="shared" si="3"/>
        <v>0.007462444203073747</v>
      </c>
      <c r="AL9" s="894">
        <f aca="true" t="shared" si="9" ref="AL9:AL25">SUMPRODUCT(C$6:AK$6,C9:AK9)</f>
        <v>0.007571087044312682</v>
      </c>
      <c r="AM9" s="923">
        <f aca="true" t="shared" si="10" ref="AM9:AM24">ROUND(AL9/AL$7*AM$7,0)</f>
        <v>5774642</v>
      </c>
      <c r="AN9" s="924" t="s">
        <v>377</v>
      </c>
      <c r="AO9" s="925" t="s">
        <v>68</v>
      </c>
    </row>
    <row r="10" spans="1:41" s="424" customFormat="1" ht="12.75" customHeight="1">
      <c r="A10" s="438" t="s">
        <v>378</v>
      </c>
      <c r="B10" s="870" t="s">
        <v>372</v>
      </c>
      <c r="C10" s="881"/>
      <c r="D10" s="872">
        <f t="shared" si="4"/>
        <v>0.0027211624336017067</v>
      </c>
      <c r="E10" s="878"/>
      <c r="F10" s="878"/>
      <c r="G10" s="878"/>
      <c r="H10" s="878"/>
      <c r="I10" s="872">
        <f aca="true" t="shared" si="11" ref="I10:I25">+I50*0.5+I70*0.3+I90*0.2</f>
        <v>0.002700197589482068</v>
      </c>
      <c r="J10" s="881"/>
      <c r="K10" s="872">
        <f t="shared" si="0"/>
        <v>0</v>
      </c>
      <c r="L10" s="890"/>
      <c r="M10" s="891"/>
      <c r="N10" s="892"/>
      <c r="O10" s="872">
        <f t="shared" si="5"/>
        <v>0.012400115875161615</v>
      </c>
      <c r="P10" s="885"/>
      <c r="Q10" s="885"/>
      <c r="R10" s="885"/>
      <c r="S10" s="885"/>
      <c r="T10" s="885"/>
      <c r="U10" s="885"/>
      <c r="V10" s="885"/>
      <c r="W10" s="885"/>
      <c r="X10" s="886"/>
      <c r="Y10" s="872">
        <f t="shared" si="6"/>
        <v>0.008134415600245488</v>
      </c>
      <c r="Z10" s="885"/>
      <c r="AA10" s="872">
        <f t="shared" si="7"/>
        <v>0.008544199802826159</v>
      </c>
      <c r="AB10" s="893"/>
      <c r="AC10" s="872">
        <f t="shared" si="7"/>
        <v>0</v>
      </c>
      <c r="AD10" s="885"/>
      <c r="AE10" s="880">
        <f t="shared" si="8"/>
        <v>0.002549502846944846</v>
      </c>
      <c r="AF10" s="885"/>
      <c r="AG10" s="872">
        <f t="shared" si="1"/>
        <v>0.007556294689312796</v>
      </c>
      <c r="AH10" s="885"/>
      <c r="AI10" s="872">
        <f t="shared" si="2"/>
        <v>0.004053093881505588</v>
      </c>
      <c r="AJ10" s="885"/>
      <c r="AK10" s="872">
        <f t="shared" si="3"/>
        <v>0.03314075800823467</v>
      </c>
      <c r="AL10" s="894">
        <f t="shared" si="9"/>
        <v>0.004602497718937486</v>
      </c>
      <c r="AM10" s="923">
        <f t="shared" si="10"/>
        <v>3510431</v>
      </c>
      <c r="AN10" s="924" t="s">
        <v>378</v>
      </c>
      <c r="AO10" s="925" t="s">
        <v>372</v>
      </c>
    </row>
    <row r="11" spans="1:41" s="424" customFormat="1" ht="12.75" customHeight="1">
      <c r="A11" s="438" t="s">
        <v>379</v>
      </c>
      <c r="B11" s="870" t="s">
        <v>42</v>
      </c>
      <c r="C11" s="881"/>
      <c r="D11" s="872">
        <f t="shared" si="4"/>
        <v>0.018918853328443466</v>
      </c>
      <c r="E11" s="878"/>
      <c r="F11" s="878"/>
      <c r="G11" s="878"/>
      <c r="H11" s="878"/>
      <c r="I11" s="872">
        <f t="shared" si="11"/>
        <v>0.01477978702002241</v>
      </c>
      <c r="J11" s="881"/>
      <c r="K11" s="872">
        <f t="shared" si="0"/>
        <v>0</v>
      </c>
      <c r="L11" s="890"/>
      <c r="M11" s="891"/>
      <c r="N11" s="892"/>
      <c r="O11" s="872">
        <f t="shared" si="5"/>
        <v>0.04281314488338288</v>
      </c>
      <c r="P11" s="885"/>
      <c r="Q11" s="885"/>
      <c r="R11" s="885"/>
      <c r="S11" s="885"/>
      <c r="T11" s="885"/>
      <c r="U11" s="885"/>
      <c r="V11" s="885"/>
      <c r="W11" s="885"/>
      <c r="X11" s="886"/>
      <c r="Y11" s="872">
        <f t="shared" si="6"/>
        <v>0.09923096918199115</v>
      </c>
      <c r="Z11" s="885"/>
      <c r="AA11" s="872">
        <f t="shared" si="7"/>
        <v>0.029411764705882353</v>
      </c>
      <c r="AB11" s="893"/>
      <c r="AC11" s="872">
        <f t="shared" si="7"/>
        <v>0.0024161884627000906</v>
      </c>
      <c r="AD11" s="885"/>
      <c r="AE11" s="880">
        <f t="shared" si="8"/>
        <v>0.014753123140987506</v>
      </c>
      <c r="AF11" s="885"/>
      <c r="AG11" s="872">
        <f t="shared" si="1"/>
        <v>0.13373565990885566</v>
      </c>
      <c r="AH11" s="885"/>
      <c r="AI11" s="872">
        <f t="shared" si="2"/>
        <v>0.07061545280089493</v>
      </c>
      <c r="AJ11" s="885"/>
      <c r="AK11" s="872">
        <f t="shared" si="3"/>
        <v>0.07650809574157137</v>
      </c>
      <c r="AL11" s="894">
        <f t="shared" si="9"/>
        <v>0.04683501841484556</v>
      </c>
      <c r="AM11" s="923">
        <f t="shared" si="10"/>
        <v>35722145</v>
      </c>
      <c r="AN11" s="924" t="s">
        <v>379</v>
      </c>
      <c r="AO11" s="925" t="s">
        <v>42</v>
      </c>
    </row>
    <row r="12" spans="1:41" s="424" customFormat="1" ht="12.75" customHeight="1">
      <c r="A12" s="438" t="s">
        <v>380</v>
      </c>
      <c r="B12" s="870" t="s">
        <v>8</v>
      </c>
      <c r="C12" s="881"/>
      <c r="D12" s="872">
        <f t="shared" si="4"/>
        <v>0.12392180788707871</v>
      </c>
      <c r="E12" s="878"/>
      <c r="F12" s="878"/>
      <c r="G12" s="878"/>
      <c r="H12" s="878"/>
      <c r="I12" s="872">
        <f>+I52*0.5+I72*0.3+I92*0.2</f>
        <v>0.13309357085309523</v>
      </c>
      <c r="J12" s="881"/>
      <c r="K12" s="872">
        <f t="shared" si="0"/>
        <v>0.10576245979064658</v>
      </c>
      <c r="L12" s="890"/>
      <c r="M12" s="891"/>
      <c r="N12" s="892"/>
      <c r="O12" s="872">
        <f t="shared" si="5"/>
        <v>0.15842265743605585</v>
      </c>
      <c r="P12" s="885"/>
      <c r="Q12" s="885"/>
      <c r="R12" s="885"/>
      <c r="S12" s="885"/>
      <c r="T12" s="885"/>
      <c r="U12" s="885"/>
      <c r="V12" s="885"/>
      <c r="W12" s="885"/>
      <c r="X12" s="886"/>
      <c r="Y12" s="872">
        <f t="shared" si="6"/>
        <v>0.11129906330284996</v>
      </c>
      <c r="Z12" s="885"/>
      <c r="AA12" s="872">
        <f t="shared" si="7"/>
        <v>0.11452513966480447</v>
      </c>
      <c r="AB12" s="893"/>
      <c r="AC12" s="872">
        <f t="shared" si="7"/>
        <v>0.2189670794321957</v>
      </c>
      <c r="AD12" s="885"/>
      <c r="AE12" s="880">
        <f t="shared" si="8"/>
        <v>0.05385527322172176</v>
      </c>
      <c r="AF12" s="885"/>
      <c r="AG12" s="872">
        <f t="shared" si="1"/>
        <v>0.057888423792962475</v>
      </c>
      <c r="AH12" s="885"/>
      <c r="AI12" s="872">
        <f t="shared" si="2"/>
        <v>0.05321240429196087</v>
      </c>
      <c r="AJ12" s="885"/>
      <c r="AK12" s="872">
        <f t="shared" si="3"/>
        <v>0.044428246145185674</v>
      </c>
      <c r="AL12" s="894">
        <f t="shared" si="9"/>
        <v>0.10697968958738285</v>
      </c>
      <c r="AM12" s="923">
        <f t="shared" si="10"/>
        <v>81595868</v>
      </c>
      <c r="AN12" s="924" t="s">
        <v>380</v>
      </c>
      <c r="AO12" s="925" t="s">
        <v>8</v>
      </c>
    </row>
    <row r="13" spans="1:41" s="424" customFormat="1" ht="12.75" customHeight="1">
      <c r="A13" s="438" t="s">
        <v>381</v>
      </c>
      <c r="B13" s="870" t="s">
        <v>22</v>
      </c>
      <c r="C13" s="881"/>
      <c r="D13" s="872">
        <f t="shared" si="4"/>
        <v>0.05969970840436384</v>
      </c>
      <c r="E13" s="878"/>
      <c r="F13" s="878"/>
      <c r="G13" s="878"/>
      <c r="H13" s="878"/>
      <c r="I13" s="872">
        <f>+I53*0.5+I73*0.3+I93*0.2</f>
        <v>0.06990040416081125</v>
      </c>
      <c r="J13" s="881"/>
      <c r="K13" s="872">
        <f t="shared" si="0"/>
        <v>0</v>
      </c>
      <c r="L13" s="890"/>
      <c r="M13" s="891"/>
      <c r="N13" s="892"/>
      <c r="O13" s="872">
        <f t="shared" si="5"/>
        <v>0.059338452686644935</v>
      </c>
      <c r="P13" s="885"/>
      <c r="Q13" s="885"/>
      <c r="R13" s="885"/>
      <c r="S13" s="885"/>
      <c r="T13" s="885"/>
      <c r="U13" s="885"/>
      <c r="V13" s="885"/>
      <c r="W13" s="885"/>
      <c r="X13" s="886"/>
      <c r="Y13" s="872">
        <f t="shared" si="6"/>
        <v>0.074225623101399</v>
      </c>
      <c r="Z13" s="885"/>
      <c r="AA13" s="872">
        <f t="shared" si="7"/>
        <v>0.05389418337167269</v>
      </c>
      <c r="AB13" s="893"/>
      <c r="AC13" s="872">
        <f t="shared" si="7"/>
        <v>0.08698278465720326</v>
      </c>
      <c r="AD13" s="885"/>
      <c r="AE13" s="880">
        <f t="shared" si="8"/>
        <v>0.014627772584346053</v>
      </c>
      <c r="AF13" s="885"/>
      <c r="AG13" s="872">
        <f t="shared" si="1"/>
        <v>0.02754377892443719</v>
      </c>
      <c r="AH13" s="885"/>
      <c r="AI13" s="872">
        <f t="shared" si="2"/>
        <v>0.015355403110756732</v>
      </c>
      <c r="AJ13" s="885"/>
      <c r="AK13" s="872">
        <f t="shared" si="3"/>
        <v>0.031195759253178214</v>
      </c>
      <c r="AL13" s="894">
        <f t="shared" si="9"/>
        <v>0.04770812583930138</v>
      </c>
      <c r="AM13" s="923">
        <f t="shared" si="10"/>
        <v>36388084</v>
      </c>
      <c r="AN13" s="924" t="s">
        <v>381</v>
      </c>
      <c r="AO13" s="925" t="s">
        <v>22</v>
      </c>
    </row>
    <row r="14" spans="1:41" s="424" customFormat="1" ht="12.75" customHeight="1">
      <c r="A14" s="438" t="s">
        <v>382</v>
      </c>
      <c r="B14" s="870" t="s">
        <v>21</v>
      </c>
      <c r="C14" s="881"/>
      <c r="D14" s="872">
        <f t="shared" si="4"/>
        <v>0.05007513604460355</v>
      </c>
      <c r="E14" s="878"/>
      <c r="F14" s="878"/>
      <c r="G14" s="878"/>
      <c r="H14" s="878"/>
      <c r="I14" s="872">
        <f>+I54*0.5+I74*0.3+I94*0.2</f>
        <v>0.03687199994401083</v>
      </c>
      <c r="J14" s="881"/>
      <c r="K14" s="872">
        <f t="shared" si="0"/>
        <v>0</v>
      </c>
      <c r="L14" s="890"/>
      <c r="M14" s="891"/>
      <c r="N14" s="892"/>
      <c r="O14" s="872">
        <f t="shared" si="5"/>
        <v>0.06553804031248833</v>
      </c>
      <c r="P14" s="885"/>
      <c r="Q14" s="885"/>
      <c r="R14" s="885"/>
      <c r="S14" s="885"/>
      <c r="T14" s="885"/>
      <c r="U14" s="885"/>
      <c r="V14" s="885"/>
      <c r="W14" s="885"/>
      <c r="X14" s="886"/>
      <c r="Y14" s="872">
        <f t="shared" si="6"/>
        <v>0.07109801574590605</v>
      </c>
      <c r="Z14" s="885"/>
      <c r="AA14" s="872">
        <f t="shared" si="7"/>
        <v>0.059809398619783107</v>
      </c>
      <c r="AB14" s="893"/>
      <c r="AC14" s="872">
        <f t="shared" si="7"/>
        <v>0.12231954092419209</v>
      </c>
      <c r="AD14" s="885"/>
      <c r="AE14" s="880">
        <f t="shared" si="8"/>
        <v>0.008838276536075464</v>
      </c>
      <c r="AF14" s="885"/>
      <c r="AG14" s="872">
        <f t="shared" si="1"/>
        <v>0.03906775067221856</v>
      </c>
      <c r="AH14" s="885"/>
      <c r="AI14" s="872">
        <f t="shared" si="2"/>
        <v>0.02017613494880935</v>
      </c>
      <c r="AJ14" s="885"/>
      <c r="AK14" s="872">
        <f t="shared" si="3"/>
        <v>0.12116367940358183</v>
      </c>
      <c r="AL14" s="894">
        <f t="shared" si="9"/>
        <v>0.04787777635721665</v>
      </c>
      <c r="AM14" s="923">
        <f t="shared" si="10"/>
        <v>36517480</v>
      </c>
      <c r="AN14" s="924" t="s">
        <v>382</v>
      </c>
      <c r="AO14" s="925" t="s">
        <v>21</v>
      </c>
    </row>
    <row r="15" spans="1:41" s="424" customFormat="1" ht="12.75" customHeight="1">
      <c r="A15" s="438" t="s">
        <v>383</v>
      </c>
      <c r="B15" s="870" t="s">
        <v>23</v>
      </c>
      <c r="C15" s="881"/>
      <c r="D15" s="872">
        <f t="shared" si="4"/>
        <v>0.02795569415796197</v>
      </c>
      <c r="E15" s="878"/>
      <c r="F15" s="878"/>
      <c r="G15" s="878"/>
      <c r="H15" s="878"/>
      <c r="I15" s="872">
        <f t="shared" si="11"/>
        <v>0.019557131910502585</v>
      </c>
      <c r="J15" s="881"/>
      <c r="K15" s="872">
        <f t="shared" si="0"/>
        <v>0.0009585000449013206</v>
      </c>
      <c r="L15" s="890"/>
      <c r="M15" s="891"/>
      <c r="N15" s="892"/>
      <c r="O15" s="872">
        <f t="shared" si="5"/>
        <v>0.0484405052918154</v>
      </c>
      <c r="P15" s="885"/>
      <c r="Q15" s="885"/>
      <c r="R15" s="885"/>
      <c r="S15" s="885"/>
      <c r="T15" s="885"/>
      <c r="U15" s="885"/>
      <c r="V15" s="885"/>
      <c r="W15" s="885"/>
      <c r="X15" s="886"/>
      <c r="Y15" s="872">
        <f t="shared" si="6"/>
        <v>0.07569223985931878</v>
      </c>
      <c r="Z15" s="885"/>
      <c r="AA15" s="872">
        <f t="shared" si="7"/>
        <v>0.05455142951035163</v>
      </c>
      <c r="AB15" s="893"/>
      <c r="AC15" s="872">
        <f t="shared" si="7"/>
        <v>0.11960132890365449</v>
      </c>
      <c r="AD15" s="885"/>
      <c r="AE15" s="880">
        <f t="shared" si="8"/>
        <v>0.023774114047760683</v>
      </c>
      <c r="AF15" s="885"/>
      <c r="AG15" s="872">
        <f t="shared" si="1"/>
        <v>0.02625436284780016</v>
      </c>
      <c r="AH15" s="885"/>
      <c r="AI15" s="872">
        <f t="shared" si="2"/>
        <v>0.012430379004209503</v>
      </c>
      <c r="AJ15" s="885"/>
      <c r="AK15" s="872">
        <f t="shared" si="3"/>
        <v>0.0003752873293615424</v>
      </c>
      <c r="AL15" s="894">
        <f t="shared" si="9"/>
        <v>0.03730292678426617</v>
      </c>
      <c r="AM15" s="923">
        <f t="shared" si="10"/>
        <v>28451800</v>
      </c>
      <c r="AN15" s="924" t="s">
        <v>383</v>
      </c>
      <c r="AO15" s="925" t="s">
        <v>23</v>
      </c>
    </row>
    <row r="16" spans="1:41" s="424" customFormat="1" ht="12.75" customHeight="1">
      <c r="A16" s="438" t="s">
        <v>384</v>
      </c>
      <c r="B16" s="870" t="s">
        <v>24</v>
      </c>
      <c r="C16" s="881"/>
      <c r="D16" s="872">
        <f t="shared" si="4"/>
        <v>0.039885460125537675</v>
      </c>
      <c r="E16" s="878"/>
      <c r="F16" s="878"/>
      <c r="G16" s="878"/>
      <c r="H16" s="878"/>
      <c r="I16" s="872">
        <f t="shared" si="11"/>
        <v>0.01618329557327167</v>
      </c>
      <c r="J16" s="881"/>
      <c r="K16" s="872">
        <f>+K56</f>
        <v>0</v>
      </c>
      <c r="L16" s="890"/>
      <c r="M16" s="891"/>
      <c r="N16" s="892"/>
      <c r="O16" s="872">
        <f>+O36*0.5+O56*0.3+O76*0.2</f>
        <v>0.05108178191554378</v>
      </c>
      <c r="P16" s="885"/>
      <c r="Q16" s="885"/>
      <c r="R16" s="885"/>
      <c r="S16" s="885"/>
      <c r="T16" s="885"/>
      <c r="U16" s="885"/>
      <c r="V16" s="885"/>
      <c r="W16" s="885"/>
      <c r="X16" s="886"/>
      <c r="Y16" s="872">
        <f t="shared" si="6"/>
        <v>0.06744511923911352</v>
      </c>
      <c r="Z16" s="885"/>
      <c r="AA16" s="872">
        <f t="shared" si="7"/>
        <v>0.029411764705882353</v>
      </c>
      <c r="AB16" s="893"/>
      <c r="AC16" s="872">
        <f t="shared" si="7"/>
        <v>0.11718514044095439</v>
      </c>
      <c r="AD16" s="885"/>
      <c r="AE16" s="880">
        <f t="shared" si="8"/>
        <v>0.007882212968471148</v>
      </c>
      <c r="AF16" s="885"/>
      <c r="AG16" s="872">
        <f t="shared" si="1"/>
        <v>0.017920364268776974</v>
      </c>
      <c r="AH16" s="885"/>
      <c r="AI16" s="872">
        <f t="shared" si="2"/>
        <v>0.009418369576663515</v>
      </c>
      <c r="AJ16" s="885"/>
      <c r="AK16" s="872">
        <f t="shared" si="3"/>
        <v>0.0012341179484773798</v>
      </c>
      <c r="AL16" s="894">
        <f t="shared" si="9"/>
        <v>0.03613665590916886</v>
      </c>
      <c r="AM16" s="923">
        <f t="shared" si="10"/>
        <v>27562258</v>
      </c>
      <c r="AN16" s="924" t="s">
        <v>384</v>
      </c>
      <c r="AO16" s="925" t="s">
        <v>24</v>
      </c>
    </row>
    <row r="17" spans="1:41" s="424" customFormat="1" ht="12.75" customHeight="1">
      <c r="A17" s="438" t="s">
        <v>385</v>
      </c>
      <c r="B17" s="870" t="s">
        <v>31</v>
      </c>
      <c r="C17" s="881"/>
      <c r="D17" s="872">
        <f t="shared" si="4"/>
        <v>0.039392268422834276</v>
      </c>
      <c r="E17" s="878"/>
      <c r="F17" s="878"/>
      <c r="G17" s="878"/>
      <c r="H17" s="878"/>
      <c r="I17" s="872">
        <f>+I57*0.5+I77*0.3+I97*0.2</f>
        <v>0.040068266894933785</v>
      </c>
      <c r="J17" s="881"/>
      <c r="K17" s="872">
        <f t="shared" si="0"/>
        <v>0</v>
      </c>
      <c r="L17" s="890"/>
      <c r="M17" s="891"/>
      <c r="N17" s="892"/>
      <c r="O17" s="872">
        <f t="shared" si="5"/>
        <v>0.03118846987983935</v>
      </c>
      <c r="P17" s="885"/>
      <c r="Q17" s="885"/>
      <c r="R17" s="885"/>
      <c r="S17" s="885"/>
      <c r="T17" s="885"/>
      <c r="U17" s="885"/>
      <c r="V17" s="885"/>
      <c r="W17" s="885"/>
      <c r="X17" s="886"/>
      <c r="Y17" s="872">
        <f t="shared" si="6"/>
        <v>0.06090890634980304</v>
      </c>
      <c r="Z17" s="885"/>
      <c r="AA17" s="872">
        <f t="shared" si="7"/>
        <v>0.05833059480775551</v>
      </c>
      <c r="AB17" s="893"/>
      <c r="AC17" s="872">
        <f t="shared" si="7"/>
        <v>0.028088190878888555</v>
      </c>
      <c r="AD17" s="885"/>
      <c r="AE17" s="880">
        <f t="shared" si="8"/>
        <v>0.03934732727118211</v>
      </c>
      <c r="AF17" s="885"/>
      <c r="AG17" s="872">
        <f t="shared" si="1"/>
        <v>0.008484014686040287</v>
      </c>
      <c r="AH17" s="885"/>
      <c r="AI17" s="872">
        <f t="shared" si="2"/>
        <v>0.012649488495008297</v>
      </c>
      <c r="AJ17" s="885"/>
      <c r="AK17" s="872">
        <f t="shared" si="3"/>
        <v>0</v>
      </c>
      <c r="AL17" s="894">
        <f t="shared" si="9"/>
        <v>0.0318897658144999</v>
      </c>
      <c r="AM17" s="923">
        <f t="shared" si="10"/>
        <v>24323057</v>
      </c>
      <c r="AN17" s="924" t="s">
        <v>385</v>
      </c>
      <c r="AO17" s="925" t="s">
        <v>31</v>
      </c>
    </row>
    <row r="18" spans="1:41" s="424" customFormat="1" ht="12.75" customHeight="1">
      <c r="A18" s="438" t="s">
        <v>386</v>
      </c>
      <c r="B18" s="870" t="s">
        <v>37</v>
      </c>
      <c r="C18" s="881"/>
      <c r="D18" s="872">
        <f t="shared" si="4"/>
        <v>0.08093959675324451</v>
      </c>
      <c r="E18" s="878"/>
      <c r="F18" s="878"/>
      <c r="G18" s="878"/>
      <c r="H18" s="878"/>
      <c r="I18" s="872">
        <f t="shared" si="11"/>
        <v>0.07031439030864375</v>
      </c>
      <c r="J18" s="881"/>
      <c r="K18" s="872">
        <f t="shared" si="0"/>
        <v>0.012394357716400154</v>
      </c>
      <c r="L18" s="890"/>
      <c r="M18" s="891"/>
      <c r="N18" s="892"/>
      <c r="O18" s="872">
        <f t="shared" si="5"/>
        <v>0.10881107714220536</v>
      </c>
      <c r="P18" s="885"/>
      <c r="Q18" s="885"/>
      <c r="R18" s="885"/>
      <c r="S18" s="885"/>
      <c r="T18" s="885"/>
      <c r="U18" s="885"/>
      <c r="V18" s="885"/>
      <c r="W18" s="885"/>
      <c r="X18" s="886"/>
      <c r="Y18" s="872">
        <f t="shared" si="6"/>
        <v>0.06837481111606251</v>
      </c>
      <c r="Z18" s="885"/>
      <c r="AA18" s="872">
        <f t="shared" si="7"/>
        <v>0.12257640486362142</v>
      </c>
      <c r="AB18" s="893"/>
      <c r="AC18" s="872">
        <f t="shared" si="7"/>
        <v>0.006342494714587738</v>
      </c>
      <c r="AD18" s="885"/>
      <c r="AE18" s="880">
        <f t="shared" si="8"/>
        <v>0.1646766380555791</v>
      </c>
      <c r="AF18" s="885"/>
      <c r="AG18" s="872">
        <f t="shared" si="1"/>
        <v>0.18728951380833017</v>
      </c>
      <c r="AH18" s="885"/>
      <c r="AI18" s="872">
        <f t="shared" si="2"/>
        <v>0.36177651201261996</v>
      </c>
      <c r="AJ18" s="885"/>
      <c r="AK18" s="872">
        <f t="shared" si="3"/>
        <v>0.27529129874675684</v>
      </c>
      <c r="AL18" s="894">
        <f t="shared" si="9"/>
        <v>0.13272954876635965</v>
      </c>
      <c r="AM18" s="923">
        <f t="shared" si="10"/>
        <v>101235878</v>
      </c>
      <c r="AN18" s="924" t="s">
        <v>386</v>
      </c>
      <c r="AO18" s="925" t="s">
        <v>37</v>
      </c>
    </row>
    <row r="19" spans="1:41" s="424" customFormat="1" ht="12.75" customHeight="1">
      <c r="A19" s="438" t="s">
        <v>387</v>
      </c>
      <c r="B19" s="870" t="s">
        <v>72</v>
      </c>
      <c r="C19" s="881"/>
      <c r="D19" s="872">
        <f t="shared" si="4"/>
        <v>0.21077469649191483</v>
      </c>
      <c r="E19" s="878"/>
      <c r="F19" s="878"/>
      <c r="G19" s="878"/>
      <c r="H19" s="878"/>
      <c r="I19" s="872">
        <f t="shared" si="11"/>
        <v>0.24038794495079177</v>
      </c>
      <c r="J19" s="881"/>
      <c r="K19" s="872">
        <f t="shared" si="0"/>
        <v>0.3151055239719006</v>
      </c>
      <c r="L19" s="890"/>
      <c r="M19" s="891"/>
      <c r="N19" s="892"/>
      <c r="O19" s="872">
        <f t="shared" si="5"/>
        <v>0.11598484437452933</v>
      </c>
      <c r="P19" s="885"/>
      <c r="Q19" s="885"/>
      <c r="R19" s="885"/>
      <c r="S19" s="885"/>
      <c r="T19" s="885"/>
      <c r="U19" s="885"/>
      <c r="V19" s="885"/>
      <c r="W19" s="885"/>
      <c r="X19" s="886"/>
      <c r="Y19" s="872">
        <f t="shared" si="6"/>
        <v>0.09386727349044673</v>
      </c>
      <c r="Z19" s="885"/>
      <c r="AA19" s="872">
        <f t="shared" si="7"/>
        <v>0.16595465001643114</v>
      </c>
      <c r="AB19" s="893"/>
      <c r="AC19" s="872">
        <f t="shared" si="7"/>
        <v>0.0006040471156750226</v>
      </c>
      <c r="AD19" s="885"/>
      <c r="AE19" s="880">
        <f t="shared" si="8"/>
        <v>0.24690447862666784</v>
      </c>
      <c r="AF19" s="885"/>
      <c r="AG19" s="872">
        <f t="shared" si="1"/>
        <v>0.0644354575705159</v>
      </c>
      <c r="AH19" s="885"/>
      <c r="AI19" s="872">
        <f t="shared" si="2"/>
        <v>0.07060037062878527</v>
      </c>
      <c r="AJ19" s="885"/>
      <c r="AK19" s="872">
        <f t="shared" si="3"/>
        <v>0.05030293626249905</v>
      </c>
      <c r="AL19" s="894">
        <f t="shared" si="9"/>
        <v>0.14806215050121727</v>
      </c>
      <c r="AM19" s="923">
        <f t="shared" si="10"/>
        <v>112930405</v>
      </c>
      <c r="AN19" s="924" t="s">
        <v>387</v>
      </c>
      <c r="AO19" s="925" t="s">
        <v>72</v>
      </c>
    </row>
    <row r="20" spans="1:41" s="424" customFormat="1" ht="12.75" customHeight="1">
      <c r="A20" s="438" t="s">
        <v>388</v>
      </c>
      <c r="B20" s="870" t="s">
        <v>81</v>
      </c>
      <c r="C20" s="881"/>
      <c r="D20" s="872">
        <f t="shared" si="4"/>
        <v>0.25746472840972634</v>
      </c>
      <c r="E20" s="878"/>
      <c r="F20" s="878"/>
      <c r="G20" s="878"/>
      <c r="H20" s="878"/>
      <c r="I20" s="872">
        <f>+I60*0.5+I80*0.3+I100*0.2</f>
        <v>0.24707374607437202</v>
      </c>
      <c r="J20" s="881"/>
      <c r="K20" s="872">
        <f t="shared" si="0"/>
        <v>0.3102665993478602</v>
      </c>
      <c r="L20" s="890"/>
      <c r="M20" s="891"/>
      <c r="N20" s="892"/>
      <c r="O20" s="872">
        <f t="shared" si="5"/>
        <v>0.15162336312675112</v>
      </c>
      <c r="P20" s="885"/>
      <c r="Q20" s="885"/>
      <c r="R20" s="885"/>
      <c r="S20" s="885"/>
      <c r="T20" s="885"/>
      <c r="U20" s="885"/>
      <c r="V20" s="885"/>
      <c r="W20" s="885"/>
      <c r="X20" s="886"/>
      <c r="Y20" s="872">
        <f t="shared" si="6"/>
        <v>0.04139640473519129</v>
      </c>
      <c r="Z20" s="885"/>
      <c r="AA20" s="872">
        <f t="shared" si="7"/>
        <v>0.09973710154452843</v>
      </c>
      <c r="AB20" s="893"/>
      <c r="AC20" s="872">
        <f t="shared" si="7"/>
        <v>0.025974025974025976</v>
      </c>
      <c r="AD20" s="885"/>
      <c r="AE20" s="880">
        <f t="shared" si="8"/>
        <v>0.2578673408685306</v>
      </c>
      <c r="AF20" s="885"/>
      <c r="AG20" s="872">
        <f t="shared" si="1"/>
        <v>0.04497816900783547</v>
      </c>
      <c r="AH20" s="885"/>
      <c r="AI20" s="872">
        <f t="shared" si="2"/>
        <v>0.03060177222176133</v>
      </c>
      <c r="AJ20" s="885"/>
      <c r="AK20" s="872">
        <f t="shared" si="3"/>
        <v>0.16011417395289423</v>
      </c>
      <c r="AL20" s="894">
        <f t="shared" si="9"/>
        <v>0.15382489067928304</v>
      </c>
      <c r="AM20" s="923">
        <f t="shared" si="10"/>
        <v>117325780</v>
      </c>
      <c r="AN20" s="924" t="s">
        <v>388</v>
      </c>
      <c r="AO20" s="925" t="s">
        <v>81</v>
      </c>
    </row>
    <row r="21" spans="1:41" s="424" customFormat="1" ht="12.75" customHeight="1">
      <c r="A21" s="438" t="s">
        <v>389</v>
      </c>
      <c r="B21" s="870" t="s">
        <v>87</v>
      </c>
      <c r="C21" s="881"/>
      <c r="D21" s="872">
        <f t="shared" si="4"/>
        <v>0.017831281009668312</v>
      </c>
      <c r="E21" s="878"/>
      <c r="F21" s="878"/>
      <c r="G21" s="878"/>
      <c r="H21" s="878"/>
      <c r="I21" s="872">
        <f t="shared" si="11"/>
        <v>0.016450611694708597</v>
      </c>
      <c r="J21" s="881"/>
      <c r="K21" s="872">
        <f>+K61</f>
        <v>0</v>
      </c>
      <c r="L21" s="890"/>
      <c r="M21" s="891"/>
      <c r="N21" s="892"/>
      <c r="O21" s="872">
        <f t="shared" si="5"/>
        <v>0.04668817324691538</v>
      </c>
      <c r="P21" s="885"/>
      <c r="Q21" s="885"/>
      <c r="R21" s="885"/>
      <c r="S21" s="885"/>
      <c r="T21" s="885"/>
      <c r="U21" s="885"/>
      <c r="V21" s="885"/>
      <c r="W21" s="885"/>
      <c r="X21" s="886"/>
      <c r="Y21" s="872">
        <f t="shared" si="6"/>
        <v>0.09136620418844507</v>
      </c>
      <c r="Z21" s="885"/>
      <c r="AA21" s="872">
        <f t="shared" si="7"/>
        <v>0.03105488005257969</v>
      </c>
      <c r="AB21" s="893"/>
      <c r="AC21" s="872">
        <f t="shared" si="7"/>
        <v>0.002718212020537602</v>
      </c>
      <c r="AD21" s="885"/>
      <c r="AE21" s="880">
        <f t="shared" si="8"/>
        <v>0.02070408770289793</v>
      </c>
      <c r="AF21" s="885"/>
      <c r="AG21" s="872">
        <f t="shared" si="1"/>
        <v>0.04860592489298921</v>
      </c>
      <c r="AH21" s="885"/>
      <c r="AI21" s="872">
        <f t="shared" si="2"/>
        <v>0.038778493432439144</v>
      </c>
      <c r="AJ21" s="885"/>
      <c r="AK21" s="872">
        <f t="shared" si="3"/>
        <v>0.016960100461531246</v>
      </c>
      <c r="AL21" s="894">
        <f t="shared" si="9"/>
        <v>0.031746122863599194</v>
      </c>
      <c r="AM21" s="923">
        <f t="shared" si="10"/>
        <v>24213498</v>
      </c>
      <c r="AN21" s="924" t="s">
        <v>389</v>
      </c>
      <c r="AO21" s="925" t="s">
        <v>87</v>
      </c>
    </row>
    <row r="22" spans="1:41" s="424" customFormat="1" ht="12.75" customHeight="1">
      <c r="A22" s="438" t="s">
        <v>390</v>
      </c>
      <c r="B22" s="870" t="s">
        <v>45</v>
      </c>
      <c r="C22" s="881"/>
      <c r="D22" s="872">
        <f t="shared" si="4"/>
        <v>0.032477714060605054</v>
      </c>
      <c r="E22" s="878"/>
      <c r="F22" s="878"/>
      <c r="G22" s="878"/>
      <c r="H22" s="878"/>
      <c r="I22" s="872">
        <f t="shared" si="11"/>
        <v>0.04323975499846788</v>
      </c>
      <c r="J22" s="881"/>
      <c r="K22" s="872">
        <f t="shared" si="0"/>
        <v>0.23419638456316794</v>
      </c>
      <c r="L22" s="890"/>
      <c r="M22" s="891"/>
      <c r="N22" s="892"/>
      <c r="O22" s="872">
        <f>+O42*0.5+O62*0.3+O82*0.2</f>
        <v>0.03907566922693621</v>
      </c>
      <c r="P22" s="885"/>
      <c r="Q22" s="885"/>
      <c r="R22" s="885"/>
      <c r="S22" s="885"/>
      <c r="T22" s="885"/>
      <c r="U22" s="885"/>
      <c r="V22" s="885"/>
      <c r="W22" s="885"/>
      <c r="X22" s="886"/>
      <c r="Y22" s="872">
        <f t="shared" si="6"/>
        <v>0.07348176407508453</v>
      </c>
      <c r="Z22" s="885"/>
      <c r="AA22" s="872">
        <f t="shared" si="7"/>
        <v>0.0767334866907657</v>
      </c>
      <c r="AB22" s="893"/>
      <c r="AC22" s="872">
        <f t="shared" si="7"/>
        <v>0.18544246451223195</v>
      </c>
      <c r="AD22" s="885"/>
      <c r="AE22" s="880">
        <f t="shared" si="8"/>
        <v>0.04902524007818475</v>
      </c>
      <c r="AF22" s="885"/>
      <c r="AG22" s="872">
        <f t="shared" si="1"/>
        <v>0.2505500178941472</v>
      </c>
      <c r="AH22" s="885"/>
      <c r="AI22" s="872">
        <f t="shared" si="2"/>
        <v>0.19392356472547528</v>
      </c>
      <c r="AJ22" s="885"/>
      <c r="AK22" s="872">
        <f t="shared" si="3"/>
        <v>0.12785028922384084</v>
      </c>
      <c r="AL22" s="894">
        <f t="shared" si="9"/>
        <v>0.10660033068967872</v>
      </c>
      <c r="AM22" s="923">
        <f t="shared" si="10"/>
        <v>81306522</v>
      </c>
      <c r="AN22" s="924" t="s">
        <v>390</v>
      </c>
      <c r="AO22" s="925" t="s">
        <v>45</v>
      </c>
    </row>
    <row r="23" spans="1:41" s="424" customFormat="1" ht="12.75" customHeight="1">
      <c r="A23" s="438" t="s">
        <v>391</v>
      </c>
      <c r="B23" s="870" t="s">
        <v>94</v>
      </c>
      <c r="C23" s="881"/>
      <c r="D23" s="872">
        <f t="shared" si="4"/>
        <v>0.007303156998782837</v>
      </c>
      <c r="E23" s="878"/>
      <c r="F23" s="878"/>
      <c r="G23" s="878"/>
      <c r="H23" s="878"/>
      <c r="I23" s="872">
        <f t="shared" si="11"/>
        <v>0.00934023405027886</v>
      </c>
      <c r="J23" s="881"/>
      <c r="K23" s="872">
        <f t="shared" si="0"/>
        <v>0</v>
      </c>
      <c r="L23" s="890"/>
      <c r="M23" s="891"/>
      <c r="N23" s="892"/>
      <c r="O23" s="872">
        <f t="shared" si="5"/>
        <v>0.016310136317603585</v>
      </c>
      <c r="P23" s="885"/>
      <c r="Q23" s="885"/>
      <c r="R23" s="885"/>
      <c r="S23" s="885"/>
      <c r="T23" s="885"/>
      <c r="U23" s="885"/>
      <c r="V23" s="885"/>
      <c r="W23" s="885"/>
      <c r="X23" s="886"/>
      <c r="Y23" s="872">
        <f t="shared" si="6"/>
        <v>0.03181876019594174</v>
      </c>
      <c r="Z23" s="885"/>
      <c r="AA23" s="872">
        <f t="shared" si="7"/>
        <v>0.012651988169569504</v>
      </c>
      <c r="AB23" s="893"/>
      <c r="AC23" s="872">
        <f t="shared" si="7"/>
        <v>0.03835699184536394</v>
      </c>
      <c r="AD23" s="885"/>
      <c r="AE23" s="880">
        <f t="shared" si="8"/>
        <v>0.00807342568199201</v>
      </c>
      <c r="AF23" s="885"/>
      <c r="AG23" s="872">
        <f t="shared" si="1"/>
        <v>0.020089446458618244</v>
      </c>
      <c r="AH23" s="885"/>
      <c r="AI23" s="872">
        <f t="shared" si="2"/>
        <v>0.02829756686354977</v>
      </c>
      <c r="AJ23" s="885"/>
      <c r="AK23" s="872">
        <f t="shared" si="3"/>
        <v>0.0058097365410777245</v>
      </c>
      <c r="AL23" s="894">
        <f t="shared" si="9"/>
        <v>0.017045571060567036</v>
      </c>
      <c r="AM23" s="923">
        <f t="shared" si="10"/>
        <v>13001049</v>
      </c>
      <c r="AN23" s="924" t="s">
        <v>391</v>
      </c>
      <c r="AO23" s="925" t="s">
        <v>94</v>
      </c>
    </row>
    <row r="24" spans="1:41" s="424" customFormat="1" ht="12.75" customHeight="1">
      <c r="A24" s="438" t="s">
        <v>392</v>
      </c>
      <c r="B24" s="870" t="s">
        <v>58</v>
      </c>
      <c r="C24" s="881"/>
      <c r="D24" s="872">
        <f t="shared" si="4"/>
        <v>0.016910815660542824</v>
      </c>
      <c r="E24" s="878"/>
      <c r="F24" s="878"/>
      <c r="G24" s="878"/>
      <c r="H24" s="878"/>
      <c r="I24" s="872">
        <f t="shared" si="11"/>
        <v>0.011254930533915606</v>
      </c>
      <c r="J24" s="881"/>
      <c r="K24" s="872">
        <f t="shared" si="0"/>
        <v>0</v>
      </c>
      <c r="L24" s="890"/>
      <c r="M24" s="891"/>
      <c r="N24" s="892"/>
      <c r="O24" s="872">
        <f t="shared" si="5"/>
        <v>0.026643183679991557</v>
      </c>
      <c r="P24" s="885"/>
      <c r="Q24" s="885"/>
      <c r="R24" s="885"/>
      <c r="S24" s="885"/>
      <c r="T24" s="885"/>
      <c r="U24" s="885"/>
      <c r="V24" s="885"/>
      <c r="W24" s="885"/>
      <c r="X24" s="886"/>
      <c r="Y24" s="872">
        <f t="shared" si="6"/>
        <v>0.019195396685515724</v>
      </c>
      <c r="Z24" s="885"/>
      <c r="AA24" s="872">
        <f t="shared" si="7"/>
        <v>0.053565560302333226</v>
      </c>
      <c r="AB24" s="893"/>
      <c r="AC24" s="872">
        <f t="shared" si="7"/>
        <v>0.04288734521292661</v>
      </c>
      <c r="AD24" s="885"/>
      <c r="AE24" s="880">
        <f t="shared" si="8"/>
        <v>0.02693974674938387</v>
      </c>
      <c r="AF24" s="885"/>
      <c r="AG24" s="872">
        <f t="shared" si="1"/>
        <v>0.05273612308394675</v>
      </c>
      <c r="AH24" s="885"/>
      <c r="AI24" s="872">
        <f t="shared" si="2"/>
        <v>0.06617640450029726</v>
      </c>
      <c r="AJ24" s="885"/>
      <c r="AK24" s="872">
        <f t="shared" si="3"/>
        <v>0.038726765564500706</v>
      </c>
      <c r="AL24" s="894">
        <f t="shared" si="9"/>
        <v>0.0314584890402591</v>
      </c>
      <c r="AM24" s="923">
        <f t="shared" si="10"/>
        <v>23994113</v>
      </c>
      <c r="AN24" s="924" t="s">
        <v>392</v>
      </c>
      <c r="AO24" s="925" t="s">
        <v>58</v>
      </c>
    </row>
    <row r="25" spans="1:41" s="424" customFormat="1" ht="12.75" customHeight="1">
      <c r="A25" s="438" t="s">
        <v>393</v>
      </c>
      <c r="B25" s="870" t="s">
        <v>373</v>
      </c>
      <c r="C25" s="881"/>
      <c r="D25" s="872">
        <f t="shared" si="4"/>
        <v>0.003992443815728802</v>
      </c>
      <c r="E25" s="878"/>
      <c r="F25" s="878"/>
      <c r="G25" s="878"/>
      <c r="H25" s="878"/>
      <c r="I25" s="872">
        <f t="shared" si="11"/>
        <v>0.007166580535038875</v>
      </c>
      <c r="J25" s="881"/>
      <c r="K25" s="872">
        <f t="shared" si="0"/>
        <v>0</v>
      </c>
      <c r="L25" s="890"/>
      <c r="M25" s="891"/>
      <c r="N25" s="892"/>
      <c r="O25" s="872">
        <f t="shared" si="5"/>
        <v>0.003957463607486436</v>
      </c>
      <c r="P25" s="885"/>
      <c r="Q25" s="885"/>
      <c r="R25" s="885"/>
      <c r="S25" s="885"/>
      <c r="T25" s="885"/>
      <c r="U25" s="885"/>
      <c r="V25" s="885"/>
      <c r="W25" s="885"/>
      <c r="X25" s="886"/>
      <c r="Y25" s="872">
        <f t="shared" si="6"/>
        <v>0.00031188213090967143</v>
      </c>
      <c r="Z25" s="885"/>
      <c r="AA25" s="872">
        <f t="shared" si="7"/>
        <v>0.01462372658560631</v>
      </c>
      <c r="AB25" s="893"/>
      <c r="AC25" s="872">
        <f t="shared" si="7"/>
        <v>0</v>
      </c>
      <c r="AD25" s="885"/>
      <c r="AE25" s="880">
        <f t="shared" si="8"/>
        <v>0.04246239483300755</v>
      </c>
      <c r="AF25" s="885"/>
      <c r="AG25" s="872">
        <f t="shared" si="1"/>
        <v>0.0022990126046709258</v>
      </c>
      <c r="AH25" s="885"/>
      <c r="AI25" s="872">
        <f t="shared" si="2"/>
        <v>0</v>
      </c>
      <c r="AJ25" s="885"/>
      <c r="AK25" s="872">
        <f t="shared" si="3"/>
        <v>9.38218323403856E-05</v>
      </c>
      <c r="AL25" s="894">
        <f t="shared" si="9"/>
        <v>0.006704064483376159</v>
      </c>
      <c r="AM25" s="923">
        <f>AM7-SUM(AM8:AM24)</f>
        <v>5113343.450970173</v>
      </c>
      <c r="AN25" s="924" t="s">
        <v>393</v>
      </c>
      <c r="AO25" s="925" t="s">
        <v>373</v>
      </c>
    </row>
    <row r="26" spans="1:44" ht="11.25" customHeight="1">
      <c r="A26" s="555"/>
      <c r="C26" s="895"/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6"/>
      <c r="Y26" s="895"/>
      <c r="Z26" s="896"/>
      <c r="AA26" s="895"/>
      <c r="AB26" s="896"/>
      <c r="AC26" s="895"/>
      <c r="AD26" s="895"/>
      <c r="AE26" s="895"/>
      <c r="AF26" s="895"/>
      <c r="AG26" s="895"/>
      <c r="AH26" s="895"/>
      <c r="AI26" s="895"/>
      <c r="AJ26" s="896"/>
      <c r="AK26" s="895"/>
      <c r="AL26" s="897"/>
      <c r="AM26" s="1051"/>
      <c r="AP26" s="514"/>
      <c r="AR26" s="424"/>
    </row>
    <row r="27" spans="1:44" ht="18">
      <c r="A27" s="836" t="s">
        <v>763</v>
      </c>
      <c r="B27" s="440" t="s">
        <v>634</v>
      </c>
      <c r="C27" s="898">
        <f aca="true" t="shared" si="12" ref="C27:O27">SUM(C28:C45)</f>
        <v>218225488</v>
      </c>
      <c r="D27" s="871">
        <f t="shared" si="12"/>
        <v>1</v>
      </c>
      <c r="E27" s="898">
        <f t="shared" si="12"/>
        <v>0</v>
      </c>
      <c r="F27" s="898">
        <f t="shared" si="12"/>
        <v>0</v>
      </c>
      <c r="G27" s="898">
        <f t="shared" si="12"/>
        <v>0</v>
      </c>
      <c r="H27" s="898">
        <f t="shared" si="12"/>
        <v>0</v>
      </c>
      <c r="I27" s="871">
        <f t="shared" si="12"/>
        <v>0</v>
      </c>
      <c r="J27" s="898">
        <f t="shared" si="12"/>
        <v>0</v>
      </c>
      <c r="K27" s="871">
        <f t="shared" si="12"/>
        <v>0</v>
      </c>
      <c r="L27" s="899">
        <f t="shared" si="12"/>
        <v>594.8687500000001</v>
      </c>
      <c r="M27" s="899">
        <f t="shared" si="12"/>
        <v>917.5250000000001</v>
      </c>
      <c r="N27" s="900">
        <f t="shared" si="12"/>
        <v>2863.459375</v>
      </c>
      <c r="O27" s="872">
        <f t="shared" si="12"/>
        <v>1</v>
      </c>
      <c r="P27" s="898"/>
      <c r="Q27" s="898"/>
      <c r="R27" s="898"/>
      <c r="S27" s="898"/>
      <c r="T27" s="898"/>
      <c r="U27" s="898"/>
      <c r="V27" s="898"/>
      <c r="W27" s="898"/>
      <c r="X27" s="898">
        <f>SUM(X28:X45)</f>
        <v>31909.24420035271</v>
      </c>
      <c r="Y27" s="871">
        <f aca="true" t="shared" si="13" ref="Y27:AG27">SUM(Y28:Y45)</f>
        <v>1</v>
      </c>
      <c r="Z27" s="898">
        <f t="shared" si="13"/>
        <v>6086</v>
      </c>
      <c r="AA27" s="871">
        <f t="shared" si="13"/>
        <v>1.0000000000000002</v>
      </c>
      <c r="AB27" s="898">
        <f>SUM(AB28:AB45)</f>
        <v>3311</v>
      </c>
      <c r="AC27" s="871">
        <f>SUM(AC28:AC45)</f>
        <v>1</v>
      </c>
      <c r="AD27" s="901">
        <f>SUM(AD28:AD45)</f>
        <v>392.23333333333335</v>
      </c>
      <c r="AE27" s="871">
        <f>SUM(AE28:AE45)</f>
        <v>0.9999999999999998</v>
      </c>
      <c r="AF27" s="901">
        <f t="shared" si="13"/>
        <v>272886</v>
      </c>
      <c r="AG27" s="871">
        <f t="shared" si="13"/>
        <v>0.9999999999999999</v>
      </c>
      <c r="AH27" s="901">
        <f>SUM(AH28:AH45)</f>
        <v>529809</v>
      </c>
      <c r="AI27" s="871">
        <f>SUM(AI28:AI45)</f>
        <v>1</v>
      </c>
      <c r="AJ27" s="898">
        <f>SUM(AJ28:AJ45)</f>
        <v>277121</v>
      </c>
      <c r="AK27" s="871">
        <f>SUM(AK28:AK45)</f>
        <v>1</v>
      </c>
      <c r="AL27" s="897"/>
      <c r="AP27" s="1134"/>
      <c r="AR27" s="424"/>
    </row>
    <row r="28" spans="1:44" ht="11.25" customHeight="1">
      <c r="A28" s="441" t="s">
        <v>376</v>
      </c>
      <c r="B28" s="873" t="s">
        <v>371</v>
      </c>
      <c r="C28" s="898">
        <v>1087859</v>
      </c>
      <c r="D28" s="872">
        <f>+C28/C$27</f>
        <v>0.004985022647766974</v>
      </c>
      <c r="E28" s="898"/>
      <c r="F28" s="898"/>
      <c r="G28" s="898"/>
      <c r="H28" s="898">
        <f aca="true" t="shared" si="14" ref="H28:H45">SUM(E28:G28)</f>
        <v>0</v>
      </c>
      <c r="I28" s="872"/>
      <c r="J28" s="898"/>
      <c r="K28" s="872"/>
      <c r="L28" s="902">
        <v>6.041666666666667</v>
      </c>
      <c r="M28" s="902">
        <v>10.670833333333334</v>
      </c>
      <c r="N28" s="899">
        <f aca="true" t="shared" si="15" ref="N28:N45">L28*2.5+M28*1.5</f>
        <v>31.11041666666667</v>
      </c>
      <c r="O28" s="872">
        <f>N28/N$27</f>
        <v>0.010864626520733046</v>
      </c>
      <c r="P28" s="1127">
        <v>0.34</v>
      </c>
      <c r="Q28" s="1128">
        <v>223</v>
      </c>
      <c r="R28" s="1127">
        <v>0.4230769230769231</v>
      </c>
      <c r="S28" s="1128">
        <v>44.5</v>
      </c>
      <c r="T28" s="1127">
        <v>0.5158371040723982</v>
      </c>
      <c r="U28" s="1128">
        <v>176.5</v>
      </c>
      <c r="V28" s="1127">
        <v>0.2</v>
      </c>
      <c r="W28" s="1128">
        <v>45</v>
      </c>
      <c r="X28" s="898">
        <f>1*P28*Q28+2.5*R28*S28+1.5*T28*U28+3*V28*W28</f>
        <v>286.45518099547513</v>
      </c>
      <c r="Y28" s="872">
        <f aca="true" t="shared" si="16" ref="Y28:Y45">+X28/X$27</f>
        <v>0.008977184768052537</v>
      </c>
      <c r="Z28" s="1129">
        <v>56</v>
      </c>
      <c r="AA28" s="872">
        <f aca="true" t="shared" si="17" ref="AA28:AA45">Z28/$Z$27</f>
        <v>0.009201445941505093</v>
      </c>
      <c r="AB28" s="1129">
        <v>0</v>
      </c>
      <c r="AC28" s="872">
        <f>AB28/$AB$27</f>
        <v>0</v>
      </c>
      <c r="AD28" s="903">
        <v>1.2666666666666666</v>
      </c>
      <c r="AE28" s="872">
        <f aca="true" t="shared" si="18" ref="AE28:AE45">AD28/AD$27</f>
        <v>0.0032293702727968043</v>
      </c>
      <c r="AF28" s="901">
        <v>1923</v>
      </c>
      <c r="AG28" s="872">
        <f aca="true" t="shared" si="19" ref="AG28:AG45">AF28/AF$27</f>
        <v>0.007046898704953717</v>
      </c>
      <c r="AH28" s="901">
        <v>2295</v>
      </c>
      <c r="AI28" s="872">
        <f aca="true" t="shared" si="20" ref="AI28:AI45">AH28/AH$27</f>
        <v>0.004331749743775587</v>
      </c>
      <c r="AJ28" s="1130">
        <v>2589</v>
      </c>
      <c r="AK28" s="872">
        <f aca="true" t="shared" si="21" ref="AK28:AK45">AJ28/AJ$27</f>
        <v>0.009342489381894551</v>
      </c>
      <c r="AL28" s="897"/>
      <c r="AM28" s="439"/>
      <c r="AR28" s="424"/>
    </row>
    <row r="29" spans="1:44" ht="11.25" customHeight="1">
      <c r="A29" s="438" t="s">
        <v>377</v>
      </c>
      <c r="B29" s="874" t="s">
        <v>68</v>
      </c>
      <c r="C29" s="898">
        <v>1036670</v>
      </c>
      <c r="D29" s="872">
        <f aca="true" t="shared" si="22" ref="D29:D45">+C29/C$27</f>
        <v>0.004750453347594301</v>
      </c>
      <c r="E29" s="898"/>
      <c r="F29" s="898"/>
      <c r="G29" s="898"/>
      <c r="H29" s="898">
        <f t="shared" si="14"/>
        <v>0</v>
      </c>
      <c r="I29" s="872"/>
      <c r="J29" s="898"/>
      <c r="K29" s="872"/>
      <c r="L29" s="902">
        <v>6</v>
      </c>
      <c r="M29" s="902">
        <v>10.0625</v>
      </c>
      <c r="N29" s="899">
        <f t="shared" si="15"/>
        <v>30.09375</v>
      </c>
      <c r="O29" s="872">
        <f aca="true" t="shared" si="23" ref="O29:O45">N29/N$27</f>
        <v>0.010509578121743041</v>
      </c>
      <c r="P29" s="1127">
        <v>0.3236009732360097</v>
      </c>
      <c r="Q29" s="1128">
        <v>169</v>
      </c>
      <c r="R29" s="1127">
        <v>0.3333333333333333</v>
      </c>
      <c r="S29" s="1128">
        <v>0</v>
      </c>
      <c r="T29" s="1127">
        <v>0.48</v>
      </c>
      <c r="U29" s="1128">
        <v>50.5</v>
      </c>
      <c r="V29" s="1127">
        <v>0.13725490196078433</v>
      </c>
      <c r="W29" s="1128">
        <v>25</v>
      </c>
      <c r="X29" s="898">
        <f aca="true" t="shared" si="24" ref="X29:X45">1*P29*Q29+2.5*R29*S29+1.5*T29*U29+3*V29*W29</f>
        <v>101.34268212394447</v>
      </c>
      <c r="Y29" s="872">
        <f t="shared" si="16"/>
        <v>0.0031759662337230874</v>
      </c>
      <c r="Z29" s="1129">
        <v>33</v>
      </c>
      <c r="AA29" s="872">
        <f t="shared" si="17"/>
        <v>0.005422280644101216</v>
      </c>
      <c r="AB29" s="1129">
        <v>7</v>
      </c>
      <c r="AC29" s="872">
        <f aca="true" t="shared" si="25" ref="AC29:AC45">AB29/$AB$27</f>
        <v>0.0021141649048625794</v>
      </c>
      <c r="AD29" s="903">
        <v>5.683333333333333</v>
      </c>
      <c r="AE29" s="872">
        <f t="shared" si="18"/>
        <v>0.014489674513469872</v>
      </c>
      <c r="AF29" s="901">
        <v>613</v>
      </c>
      <c r="AG29" s="872">
        <f t="shared" si="19"/>
        <v>0.0022463592855624694</v>
      </c>
      <c r="AH29" s="901">
        <v>3757</v>
      </c>
      <c r="AI29" s="872">
        <f t="shared" si="20"/>
        <v>0.007091234765736331</v>
      </c>
      <c r="AJ29" s="1130">
        <v>2068</v>
      </c>
      <c r="AK29" s="872">
        <f>AJ29/AJ$27</f>
        <v>0.007462444203073747</v>
      </c>
      <c r="AL29" s="904"/>
      <c r="AM29" s="442"/>
      <c r="AR29" s="424"/>
    </row>
    <row r="30" spans="1:39" ht="11.25" customHeight="1">
      <c r="A30" s="438" t="s">
        <v>378</v>
      </c>
      <c r="B30" s="874" t="s">
        <v>372</v>
      </c>
      <c r="C30" s="898">
        <v>593827</v>
      </c>
      <c r="D30" s="872">
        <f t="shared" si="22"/>
        <v>0.0027211624336017067</v>
      </c>
      <c r="E30" s="898"/>
      <c r="F30" s="898"/>
      <c r="G30" s="898"/>
      <c r="H30" s="898">
        <f t="shared" si="14"/>
        <v>0</v>
      </c>
      <c r="I30" s="872"/>
      <c r="J30" s="898"/>
      <c r="K30" s="872"/>
      <c r="L30" s="902">
        <v>5.916666666666667</v>
      </c>
      <c r="M30" s="902">
        <v>12.566666666666663</v>
      </c>
      <c r="N30" s="899">
        <f t="shared" si="15"/>
        <v>33.641666666666666</v>
      </c>
      <c r="O30" s="872">
        <f t="shared" si="23"/>
        <v>0.011748609727234795</v>
      </c>
      <c r="P30" s="1127">
        <v>0.34791252485089463</v>
      </c>
      <c r="Q30" s="1128">
        <v>330</v>
      </c>
      <c r="R30" s="1127">
        <v>0</v>
      </c>
      <c r="S30" s="1128">
        <v>0</v>
      </c>
      <c r="T30" s="1127">
        <v>0.5563380281690141</v>
      </c>
      <c r="U30" s="1128">
        <v>163</v>
      </c>
      <c r="V30" s="1127">
        <v>0.12121212121212122</v>
      </c>
      <c r="W30" s="1128">
        <v>24</v>
      </c>
      <c r="X30" s="898">
        <f t="shared" si="24"/>
        <v>259.5630538153919</v>
      </c>
      <c r="Y30" s="872">
        <f t="shared" si="16"/>
        <v>0.008134415600245488</v>
      </c>
      <c r="Z30" s="1129">
        <v>52</v>
      </c>
      <c r="AA30" s="872">
        <f t="shared" si="17"/>
        <v>0.008544199802826159</v>
      </c>
      <c r="AB30" s="1129">
        <v>0</v>
      </c>
      <c r="AC30" s="872">
        <f t="shared" si="25"/>
        <v>0</v>
      </c>
      <c r="AD30" s="903">
        <v>1</v>
      </c>
      <c r="AE30" s="872">
        <f t="shared" si="18"/>
        <v>0.002549502846944846</v>
      </c>
      <c r="AF30" s="901">
        <v>1339</v>
      </c>
      <c r="AG30" s="872">
        <f>AF30/AF$27</f>
        <v>0.004906810902721283</v>
      </c>
      <c r="AH30" s="901">
        <v>1666</v>
      </c>
      <c r="AI30" s="872">
        <f t="shared" si="20"/>
        <v>0.0031445294436296856</v>
      </c>
      <c r="AJ30" s="1130">
        <v>9184</v>
      </c>
      <c r="AK30" s="872">
        <f>AJ30/AJ$27</f>
        <v>0.03314075800823467</v>
      </c>
      <c r="AL30" s="904"/>
      <c r="AM30" s="442"/>
    </row>
    <row r="31" spans="1:39" ht="11.25" customHeight="1">
      <c r="A31" s="438" t="s">
        <v>379</v>
      </c>
      <c r="B31" s="874" t="s">
        <v>42</v>
      </c>
      <c r="C31" s="898">
        <v>4128576</v>
      </c>
      <c r="D31" s="872">
        <f t="shared" si="22"/>
        <v>0.018918853328443466</v>
      </c>
      <c r="E31" s="898"/>
      <c r="F31" s="898"/>
      <c r="G31" s="898"/>
      <c r="H31" s="898">
        <f t="shared" si="14"/>
        <v>0</v>
      </c>
      <c r="I31" s="872"/>
      <c r="J31" s="898"/>
      <c r="K31" s="872"/>
      <c r="L31" s="902">
        <v>24.700000000000003</v>
      </c>
      <c r="M31" s="902">
        <v>42.706250000000004</v>
      </c>
      <c r="N31" s="899">
        <f t="shared" si="15"/>
        <v>125.80937500000002</v>
      </c>
      <c r="O31" s="872">
        <f t="shared" si="23"/>
        <v>0.04393614803772099</v>
      </c>
      <c r="P31" s="1127">
        <v>0</v>
      </c>
      <c r="Q31" s="1128">
        <v>0</v>
      </c>
      <c r="R31" s="1127">
        <v>0.41249403910348115</v>
      </c>
      <c r="S31" s="1128">
        <v>2921.5</v>
      </c>
      <c r="T31" s="1127">
        <v>0</v>
      </c>
      <c r="U31" s="1128">
        <v>0</v>
      </c>
      <c r="V31" s="1127">
        <v>0.16929133858267717</v>
      </c>
      <c r="W31" s="1128">
        <v>302.5</v>
      </c>
      <c r="X31" s="898">
        <f t="shared" si="24"/>
        <v>3166.3852278658296</v>
      </c>
      <c r="Y31" s="872">
        <f t="shared" si="16"/>
        <v>0.09923096918199115</v>
      </c>
      <c r="Z31" s="1129">
        <v>179</v>
      </c>
      <c r="AA31" s="872">
        <f t="shared" si="17"/>
        <v>0.029411764705882353</v>
      </c>
      <c r="AB31" s="1129">
        <v>8</v>
      </c>
      <c r="AC31" s="872">
        <f t="shared" si="25"/>
        <v>0.0024161884627000906</v>
      </c>
      <c r="AD31" s="903">
        <v>5.786666666666666</v>
      </c>
      <c r="AE31" s="872">
        <f t="shared" si="18"/>
        <v>0.014753123140987506</v>
      </c>
      <c r="AF31" s="901">
        <v>33334</v>
      </c>
      <c r="AG31" s="872">
        <f t="shared" si="19"/>
        <v>0.12215357328701362</v>
      </c>
      <c r="AH31" s="901">
        <v>36728</v>
      </c>
      <c r="AI31" s="872">
        <f t="shared" si="20"/>
        <v>0.0693230956816513</v>
      </c>
      <c r="AJ31" s="1130">
        <v>21202</v>
      </c>
      <c r="AK31" s="872">
        <f t="shared" si="21"/>
        <v>0.07650809574157137</v>
      </c>
      <c r="AL31" s="904"/>
      <c r="AM31" s="442"/>
    </row>
    <row r="32" spans="1:39" ht="11.25" customHeight="1">
      <c r="A32" s="438" t="s">
        <v>380</v>
      </c>
      <c r="B32" s="874" t="s">
        <v>8</v>
      </c>
      <c r="C32" s="898">
        <v>27042897</v>
      </c>
      <c r="D32" s="872">
        <f t="shared" si="22"/>
        <v>0.12392180788707871</v>
      </c>
      <c r="E32" s="898"/>
      <c r="F32" s="898"/>
      <c r="G32" s="898"/>
      <c r="H32" s="898">
        <f t="shared" si="14"/>
        <v>0</v>
      </c>
      <c r="I32" s="872"/>
      <c r="J32" s="898"/>
      <c r="K32" s="872"/>
      <c r="L32" s="902">
        <v>117.52500000000002</v>
      </c>
      <c r="M32" s="902">
        <v>107.20833333333333</v>
      </c>
      <c r="N32" s="899">
        <f t="shared" si="15"/>
        <v>454.62500000000006</v>
      </c>
      <c r="O32" s="872">
        <f t="shared" si="23"/>
        <v>0.15876774923688242</v>
      </c>
      <c r="P32" s="1127">
        <v>0.45774647887323944</v>
      </c>
      <c r="Q32" s="1128">
        <v>434.5</v>
      </c>
      <c r="R32" s="1127">
        <v>0.5697142857142857</v>
      </c>
      <c r="S32" s="1128">
        <v>2132.5</v>
      </c>
      <c r="T32" s="1127">
        <v>0.5379310344827586</v>
      </c>
      <c r="U32" s="1128">
        <v>272</v>
      </c>
      <c r="V32" s="1127">
        <v>0.0610079575596817</v>
      </c>
      <c r="W32" s="1128">
        <v>523.5</v>
      </c>
      <c r="X32" s="898">
        <f t="shared" si="24"/>
        <v>3551.468990201154</v>
      </c>
      <c r="Y32" s="872">
        <f t="shared" si="16"/>
        <v>0.11129906330284996</v>
      </c>
      <c r="Z32" s="1129">
        <v>697</v>
      </c>
      <c r="AA32" s="872">
        <f t="shared" si="17"/>
        <v>0.11452513966480447</v>
      </c>
      <c r="AB32" s="1129">
        <v>725</v>
      </c>
      <c r="AC32" s="872">
        <f t="shared" si="25"/>
        <v>0.2189670794321957</v>
      </c>
      <c r="AD32" s="903">
        <v>21.123833333333334</v>
      </c>
      <c r="AE32" s="872">
        <f t="shared" si="18"/>
        <v>0.05385527322172176</v>
      </c>
      <c r="AF32" s="901">
        <v>15697</v>
      </c>
      <c r="AG32" s="872">
        <f t="shared" si="19"/>
        <v>0.05752218875281253</v>
      </c>
      <c r="AH32" s="901">
        <v>34855</v>
      </c>
      <c r="AI32" s="872">
        <f>AH32/AH$27</f>
        <v>0.06578785939838697</v>
      </c>
      <c r="AJ32" s="1130">
        <v>12312</v>
      </c>
      <c r="AK32" s="872">
        <f t="shared" si="21"/>
        <v>0.044428246145185674</v>
      </c>
      <c r="AL32" s="904"/>
      <c r="AM32" s="442"/>
    </row>
    <row r="33" spans="1:39" ht="11.25" customHeight="1">
      <c r="A33" s="438" t="s">
        <v>381</v>
      </c>
      <c r="B33" s="874" t="s">
        <v>22</v>
      </c>
      <c r="C33" s="898">
        <v>13027998</v>
      </c>
      <c r="D33" s="872">
        <f t="shared" si="22"/>
        <v>0.05969970840436384</v>
      </c>
      <c r="E33" s="898"/>
      <c r="F33" s="898"/>
      <c r="G33" s="898"/>
      <c r="H33" s="898">
        <f t="shared" si="14"/>
        <v>0</v>
      </c>
      <c r="I33" s="872"/>
      <c r="J33" s="898"/>
      <c r="K33" s="872"/>
      <c r="L33" s="902">
        <v>46.25833333333333</v>
      </c>
      <c r="M33" s="902">
        <v>35.37083333333333</v>
      </c>
      <c r="N33" s="899">
        <f t="shared" si="15"/>
        <v>168.70208333333332</v>
      </c>
      <c r="O33" s="872">
        <f t="shared" si="23"/>
        <v>0.05891547992830641</v>
      </c>
      <c r="P33" s="1127">
        <v>0.6481481481481481</v>
      </c>
      <c r="Q33" s="1128">
        <v>182.5</v>
      </c>
      <c r="R33" s="1127">
        <v>0.8151447661469933</v>
      </c>
      <c r="S33" s="1128">
        <v>1033.5</v>
      </c>
      <c r="T33" s="1127">
        <v>0.8045977011494253</v>
      </c>
      <c r="U33" s="1128">
        <v>56</v>
      </c>
      <c r="V33" s="1127">
        <v>0.10666666666666667</v>
      </c>
      <c r="W33" s="1128">
        <v>239</v>
      </c>
      <c r="X33" s="898">
        <f t="shared" si="24"/>
        <v>2368.4835334658824</v>
      </c>
      <c r="Y33" s="872">
        <f t="shared" si="16"/>
        <v>0.074225623101399</v>
      </c>
      <c r="Z33" s="1129">
        <v>328</v>
      </c>
      <c r="AA33" s="872">
        <f t="shared" si="17"/>
        <v>0.05389418337167269</v>
      </c>
      <c r="AB33" s="1129">
        <v>288</v>
      </c>
      <c r="AC33" s="872">
        <f t="shared" si="25"/>
        <v>0.08698278465720326</v>
      </c>
      <c r="AD33" s="903">
        <v>5.737500000000001</v>
      </c>
      <c r="AE33" s="872">
        <f t="shared" si="18"/>
        <v>0.014627772584346053</v>
      </c>
      <c r="AF33" s="901">
        <v>8378</v>
      </c>
      <c r="AG33" s="872">
        <f t="shared" si="19"/>
        <v>0.030701465080656392</v>
      </c>
      <c r="AH33" s="901">
        <v>8992</v>
      </c>
      <c r="AI33" s="872">
        <f t="shared" si="20"/>
        <v>0.016972154115917244</v>
      </c>
      <c r="AJ33" s="1130">
        <v>8645</v>
      </c>
      <c r="AK33" s="872">
        <f t="shared" si="21"/>
        <v>0.031195759253178214</v>
      </c>
      <c r="AL33" s="904"/>
      <c r="AM33" s="442"/>
    </row>
    <row r="34" spans="1:39" ht="11.25" customHeight="1">
      <c r="A34" s="438" t="s">
        <v>382</v>
      </c>
      <c r="B34" s="874" t="s">
        <v>21</v>
      </c>
      <c r="C34" s="898">
        <v>10927671</v>
      </c>
      <c r="D34" s="872">
        <f t="shared" si="22"/>
        <v>0.05007513604460355</v>
      </c>
      <c r="E34" s="898"/>
      <c r="F34" s="898"/>
      <c r="G34" s="898"/>
      <c r="H34" s="898">
        <f t="shared" si="14"/>
        <v>0</v>
      </c>
      <c r="I34" s="872"/>
      <c r="J34" s="898"/>
      <c r="K34" s="872"/>
      <c r="L34" s="902">
        <v>42.075</v>
      </c>
      <c r="M34" s="902">
        <v>55.40833333333334</v>
      </c>
      <c r="N34" s="899">
        <f t="shared" si="15"/>
        <v>188.3</v>
      </c>
      <c r="O34" s="872">
        <f t="shared" si="23"/>
        <v>0.06575961986539447</v>
      </c>
      <c r="P34" s="1127">
        <v>0.6588541666666666</v>
      </c>
      <c r="Q34" s="1128">
        <v>395.5</v>
      </c>
      <c r="R34" s="1127">
        <v>0.7387387387387387</v>
      </c>
      <c r="S34" s="1128">
        <v>1065</v>
      </c>
      <c r="T34" s="1127">
        <v>0</v>
      </c>
      <c r="U34" s="1128">
        <v>27</v>
      </c>
      <c r="V34" s="1127">
        <v>0.059602649006622516</v>
      </c>
      <c r="W34" s="1128">
        <v>230.5</v>
      </c>
      <c r="X34" s="898">
        <f t="shared" si="24"/>
        <v>2268.683946596638</v>
      </c>
      <c r="Y34" s="872">
        <f t="shared" si="16"/>
        <v>0.07109801574590605</v>
      </c>
      <c r="Z34" s="1129">
        <v>364</v>
      </c>
      <c r="AA34" s="872">
        <f t="shared" si="17"/>
        <v>0.059809398619783107</v>
      </c>
      <c r="AB34" s="1129">
        <v>405</v>
      </c>
      <c r="AC34" s="872">
        <f t="shared" si="25"/>
        <v>0.12231954092419209</v>
      </c>
      <c r="AD34" s="903">
        <v>3.4666666666666663</v>
      </c>
      <c r="AE34" s="872">
        <f t="shared" si="18"/>
        <v>0.008838276536075464</v>
      </c>
      <c r="AF34" s="901">
        <v>11071</v>
      </c>
      <c r="AG34" s="872">
        <f t="shared" si="19"/>
        <v>0.04057005489471794</v>
      </c>
      <c r="AH34" s="901">
        <v>10596</v>
      </c>
      <c r="AI34" s="872">
        <f t="shared" si="20"/>
        <v>0.019999660254922058</v>
      </c>
      <c r="AJ34" s="1130">
        <v>33577</v>
      </c>
      <c r="AK34" s="872">
        <f t="shared" si="21"/>
        <v>0.12116367940358183</v>
      </c>
      <c r="AL34" s="904"/>
      <c r="AM34" s="442"/>
    </row>
    <row r="35" spans="1:39" ht="11.25" customHeight="1">
      <c r="A35" s="438" t="s">
        <v>383</v>
      </c>
      <c r="B35" s="874" t="s">
        <v>23</v>
      </c>
      <c r="C35" s="898">
        <v>6100645</v>
      </c>
      <c r="D35" s="872">
        <f t="shared" si="22"/>
        <v>0.02795569415796197</v>
      </c>
      <c r="E35" s="898"/>
      <c r="F35" s="898"/>
      <c r="G35" s="898"/>
      <c r="H35" s="898">
        <f t="shared" si="14"/>
        <v>0</v>
      </c>
      <c r="I35" s="872"/>
      <c r="J35" s="898"/>
      <c r="K35" s="872"/>
      <c r="L35" s="902">
        <v>25.341666666666665</v>
      </c>
      <c r="M35" s="902">
        <v>51.32916666666666</v>
      </c>
      <c r="N35" s="899">
        <f t="shared" si="15"/>
        <v>140.34791666666666</v>
      </c>
      <c r="O35" s="872">
        <f t="shared" si="23"/>
        <v>0.049013412899097504</v>
      </c>
      <c r="P35" s="1127">
        <v>0</v>
      </c>
      <c r="Q35" s="1128">
        <v>0</v>
      </c>
      <c r="R35" s="1127">
        <v>0.6254589963280294</v>
      </c>
      <c r="S35" s="1128">
        <v>1473</v>
      </c>
      <c r="T35" s="1127">
        <v>0</v>
      </c>
      <c r="U35" s="1128">
        <v>0</v>
      </c>
      <c r="V35" s="1127">
        <v>0.2549019607843137</v>
      </c>
      <c r="W35" s="1128">
        <v>146.5</v>
      </c>
      <c r="X35" s="898">
        <f t="shared" si="24"/>
        <v>2415.282165742674</v>
      </c>
      <c r="Y35" s="872">
        <f t="shared" si="16"/>
        <v>0.07569223985931878</v>
      </c>
      <c r="Z35" s="1129">
        <v>332</v>
      </c>
      <c r="AA35" s="872">
        <f t="shared" si="17"/>
        <v>0.05455142951035163</v>
      </c>
      <c r="AB35" s="1129">
        <v>396</v>
      </c>
      <c r="AC35" s="872">
        <f t="shared" si="25"/>
        <v>0.11960132890365449</v>
      </c>
      <c r="AD35" s="903">
        <v>9.325</v>
      </c>
      <c r="AE35" s="872">
        <f t="shared" si="18"/>
        <v>0.023774114047760683</v>
      </c>
      <c r="AF35" s="901">
        <v>7300</v>
      </c>
      <c r="AG35" s="872">
        <f t="shared" si="19"/>
        <v>0.026751097527905426</v>
      </c>
      <c r="AH35" s="901">
        <v>6937</v>
      </c>
      <c r="AI35" s="872">
        <f t="shared" si="20"/>
        <v>0.013093397809399237</v>
      </c>
      <c r="AJ35" s="1130">
        <v>104</v>
      </c>
      <c r="AK35" s="872">
        <f t="shared" si="21"/>
        <v>0.0003752873293615424</v>
      </c>
      <c r="AL35" s="904"/>
      <c r="AM35" s="442"/>
    </row>
    <row r="36" spans="1:39" ht="11.25" customHeight="1">
      <c r="A36" s="438" t="s">
        <v>384</v>
      </c>
      <c r="B36" s="874" t="s">
        <v>24</v>
      </c>
      <c r="C36" s="898">
        <v>8704024</v>
      </c>
      <c r="D36" s="872">
        <f t="shared" si="22"/>
        <v>0.039885460125537675</v>
      </c>
      <c r="E36" s="898"/>
      <c r="F36" s="898"/>
      <c r="G36" s="898"/>
      <c r="H36" s="898">
        <f t="shared" si="14"/>
        <v>0</v>
      </c>
      <c r="I36" s="872"/>
      <c r="J36" s="898"/>
      <c r="K36" s="872"/>
      <c r="L36" s="902">
        <v>35.418749999999996</v>
      </c>
      <c r="M36" s="902">
        <v>38.26041666666667</v>
      </c>
      <c r="N36" s="899">
        <f t="shared" si="15"/>
        <v>145.9375</v>
      </c>
      <c r="O36" s="872">
        <f t="shared" si="23"/>
        <v>0.05096545153534787</v>
      </c>
      <c r="P36" s="1127">
        <v>0.7297297297297297</v>
      </c>
      <c r="Q36" s="1128">
        <v>69</v>
      </c>
      <c r="R36" s="1127">
        <v>0.7619926199261993</v>
      </c>
      <c r="S36" s="1128">
        <v>1084</v>
      </c>
      <c r="T36" s="1127">
        <v>0</v>
      </c>
      <c r="U36" s="1128">
        <v>0</v>
      </c>
      <c r="V36" s="1127">
        <v>0.08571428571428572</v>
      </c>
      <c r="W36" s="1128">
        <v>143</v>
      </c>
      <c r="X36" s="898">
        <f t="shared" si="24"/>
        <v>2152.12277992278</v>
      </c>
      <c r="Y36" s="872">
        <f t="shared" si="16"/>
        <v>0.06744511923911352</v>
      </c>
      <c r="Z36" s="1129">
        <v>179</v>
      </c>
      <c r="AA36" s="872">
        <f>Z36/$Z$27</f>
        <v>0.029411764705882353</v>
      </c>
      <c r="AB36" s="1129">
        <v>388</v>
      </c>
      <c r="AC36" s="872">
        <f t="shared" si="25"/>
        <v>0.11718514044095439</v>
      </c>
      <c r="AD36" s="903">
        <v>3.091666666666667</v>
      </c>
      <c r="AE36" s="872">
        <f t="shared" si="18"/>
        <v>0.007882212968471148</v>
      </c>
      <c r="AF36" s="901">
        <v>4279</v>
      </c>
      <c r="AG36" s="872">
        <f t="shared" si="19"/>
        <v>0.0156805405920421</v>
      </c>
      <c r="AH36" s="901">
        <v>4803</v>
      </c>
      <c r="AI36" s="872">
        <f t="shared" si="20"/>
        <v>0.009065531163117275</v>
      </c>
      <c r="AJ36" s="1130">
        <v>342</v>
      </c>
      <c r="AK36" s="872">
        <f t="shared" si="21"/>
        <v>0.0012341179484773798</v>
      </c>
      <c r="AL36" s="897"/>
      <c r="AM36" s="439"/>
    </row>
    <row r="37" spans="1:39" ht="11.25" customHeight="1">
      <c r="A37" s="438" t="s">
        <v>385</v>
      </c>
      <c r="B37" s="874" t="s">
        <v>31</v>
      </c>
      <c r="C37" s="898">
        <v>8596397</v>
      </c>
      <c r="D37" s="872">
        <f t="shared" si="22"/>
        <v>0.039392268422834276</v>
      </c>
      <c r="E37" s="898"/>
      <c r="F37" s="898"/>
      <c r="G37" s="898"/>
      <c r="H37" s="898">
        <f t="shared" si="14"/>
        <v>0</v>
      </c>
      <c r="I37" s="872"/>
      <c r="J37" s="898"/>
      <c r="K37" s="872"/>
      <c r="L37" s="902">
        <v>20.029166666666665</v>
      </c>
      <c r="M37" s="902">
        <v>27.549999999999997</v>
      </c>
      <c r="N37" s="899">
        <f t="shared" si="15"/>
        <v>91.39791666666666</v>
      </c>
      <c r="O37" s="872">
        <f t="shared" si="23"/>
        <v>0.031918705557562405</v>
      </c>
      <c r="P37" s="1127">
        <v>0.44594594594594594</v>
      </c>
      <c r="Q37" s="1128">
        <v>148</v>
      </c>
      <c r="R37" s="1127">
        <v>0.6363636363636364</v>
      </c>
      <c r="S37" s="1128">
        <v>1023.5</v>
      </c>
      <c r="T37" s="1127">
        <v>0.8613861386138614</v>
      </c>
      <c r="U37" s="1128">
        <v>71.5</v>
      </c>
      <c r="V37" s="1127">
        <v>0.3902439024390244</v>
      </c>
      <c r="W37" s="1128">
        <v>134</v>
      </c>
      <c r="X37" s="898">
        <f t="shared" si="24"/>
        <v>1943.557166692279</v>
      </c>
      <c r="Y37" s="872">
        <f t="shared" si="16"/>
        <v>0.06090890634980304</v>
      </c>
      <c r="Z37" s="1129">
        <v>355</v>
      </c>
      <c r="AA37" s="872">
        <f t="shared" si="17"/>
        <v>0.05833059480775551</v>
      </c>
      <c r="AB37" s="1129">
        <v>93</v>
      </c>
      <c r="AC37" s="872">
        <f>AB37/$AB$27</f>
        <v>0.028088190878888555</v>
      </c>
      <c r="AD37" s="903">
        <v>15.433333333333332</v>
      </c>
      <c r="AE37" s="872">
        <f t="shared" si="18"/>
        <v>0.03934732727118211</v>
      </c>
      <c r="AF37" s="901">
        <v>1680</v>
      </c>
      <c r="AG37" s="872">
        <f t="shared" si="19"/>
        <v>0.006156416965326181</v>
      </c>
      <c r="AH37" s="901">
        <v>6526</v>
      </c>
      <c r="AI37" s="872">
        <f t="shared" si="20"/>
        <v>0.012317646548095635</v>
      </c>
      <c r="AJ37" s="1130">
        <v>0</v>
      </c>
      <c r="AK37" s="872">
        <f t="shared" si="21"/>
        <v>0</v>
      </c>
      <c r="AL37" s="897"/>
      <c r="AM37" s="439"/>
    </row>
    <row r="38" spans="1:39" ht="11.25" customHeight="1">
      <c r="A38" s="438" t="s">
        <v>386</v>
      </c>
      <c r="B38" s="874" t="s">
        <v>37</v>
      </c>
      <c r="C38" s="898">
        <v>17663083</v>
      </c>
      <c r="D38" s="872">
        <f t="shared" si="22"/>
        <v>0.08093959675324451</v>
      </c>
      <c r="E38" s="898"/>
      <c r="F38" s="898"/>
      <c r="G38" s="898"/>
      <c r="H38" s="898">
        <f t="shared" si="14"/>
        <v>0</v>
      </c>
      <c r="I38" s="872"/>
      <c r="J38" s="898"/>
      <c r="K38" s="872"/>
      <c r="L38" s="902">
        <v>56.487500000000004</v>
      </c>
      <c r="M38" s="902">
        <v>108.59166666666665</v>
      </c>
      <c r="N38" s="899">
        <f t="shared" si="15"/>
        <v>304.10625</v>
      </c>
      <c r="O38" s="872">
        <f t="shared" si="23"/>
        <v>0.10620239723149556</v>
      </c>
      <c r="P38" s="1127">
        <v>0.32520644907589463</v>
      </c>
      <c r="Q38" s="1128">
        <v>2920.5</v>
      </c>
      <c r="R38" s="1127">
        <v>0</v>
      </c>
      <c r="S38" s="1128">
        <v>0</v>
      </c>
      <c r="T38" s="1127">
        <v>0.5384196185286103</v>
      </c>
      <c r="U38" s="1128">
        <v>1414.5</v>
      </c>
      <c r="V38" s="1127">
        <v>0.0521415270018622</v>
      </c>
      <c r="W38" s="1128">
        <v>573</v>
      </c>
      <c r="X38" s="898">
        <f t="shared" si="24"/>
        <v>2181.78854505543</v>
      </c>
      <c r="Y38" s="872">
        <f t="shared" si="16"/>
        <v>0.06837481111606251</v>
      </c>
      <c r="Z38" s="1129">
        <v>746</v>
      </c>
      <c r="AA38" s="872">
        <f t="shared" si="17"/>
        <v>0.12257640486362142</v>
      </c>
      <c r="AB38" s="1129">
        <v>21</v>
      </c>
      <c r="AC38" s="872">
        <f t="shared" si="25"/>
        <v>0.006342494714587738</v>
      </c>
      <c r="AD38" s="903">
        <v>64.59166666666665</v>
      </c>
      <c r="AE38" s="872">
        <f t="shared" si="18"/>
        <v>0.1646766380555791</v>
      </c>
      <c r="AF38" s="901">
        <v>49594</v>
      </c>
      <c r="AG38" s="872">
        <f>AF38/AF$27</f>
        <v>0.18173889462999201</v>
      </c>
      <c r="AH38" s="901">
        <v>190234</v>
      </c>
      <c r="AI38" s="872">
        <f t="shared" si="20"/>
        <v>0.3590614730969085</v>
      </c>
      <c r="AJ38" s="1130">
        <v>76289</v>
      </c>
      <c r="AK38" s="872">
        <f t="shared" si="21"/>
        <v>0.27529129874675684</v>
      </c>
      <c r="AL38" s="897"/>
      <c r="AM38" s="439"/>
    </row>
    <row r="39" spans="1:39" ht="11.25" customHeight="1">
      <c r="A39" s="438" t="s">
        <v>387</v>
      </c>
      <c r="B39" s="874" t="s">
        <v>72</v>
      </c>
      <c r="C39" s="898">
        <v>45996411</v>
      </c>
      <c r="D39" s="872">
        <f t="shared" si="22"/>
        <v>0.21077469649191483</v>
      </c>
      <c r="E39" s="898"/>
      <c r="F39" s="898"/>
      <c r="G39" s="898"/>
      <c r="H39" s="898">
        <f t="shared" si="14"/>
        <v>0</v>
      </c>
      <c r="I39" s="872"/>
      <c r="J39" s="898"/>
      <c r="K39" s="872"/>
      <c r="L39" s="902">
        <v>64.03750000000001</v>
      </c>
      <c r="M39" s="902">
        <v>115.69166666666666</v>
      </c>
      <c r="N39" s="899">
        <f t="shared" si="15"/>
        <v>333.63125</v>
      </c>
      <c r="O39" s="872">
        <f t="shared" si="23"/>
        <v>0.11651335196609872</v>
      </c>
      <c r="P39" s="1127">
        <v>0.4878587196467991</v>
      </c>
      <c r="Q39" s="1128">
        <v>2211.5</v>
      </c>
      <c r="R39" s="1127">
        <v>0</v>
      </c>
      <c r="S39" s="1128">
        <v>0</v>
      </c>
      <c r="T39" s="1127">
        <v>0.7277556440903055</v>
      </c>
      <c r="U39" s="1128">
        <v>1042</v>
      </c>
      <c r="V39" s="1127">
        <v>0.24005305039787797</v>
      </c>
      <c r="W39" s="1128">
        <v>1081.5</v>
      </c>
      <c r="X39" s="898">
        <f t="shared" si="24"/>
        <v>2995.233752227959</v>
      </c>
      <c r="Y39" s="872">
        <f t="shared" si="16"/>
        <v>0.09386727349044673</v>
      </c>
      <c r="Z39" s="1129">
        <v>1010</v>
      </c>
      <c r="AA39" s="872">
        <f t="shared" si="17"/>
        <v>0.16595465001643114</v>
      </c>
      <c r="AB39" s="1129">
        <v>2</v>
      </c>
      <c r="AC39" s="872">
        <f t="shared" si="25"/>
        <v>0.0006040471156750226</v>
      </c>
      <c r="AD39" s="903">
        <v>96.84416666666668</v>
      </c>
      <c r="AE39" s="872">
        <f t="shared" si="18"/>
        <v>0.24690447862666784</v>
      </c>
      <c r="AF39" s="901">
        <v>16815</v>
      </c>
      <c r="AG39" s="872">
        <f t="shared" si="19"/>
        <v>0.061619137661880784</v>
      </c>
      <c r="AH39" s="901">
        <v>37608</v>
      </c>
      <c r="AI39" s="872">
        <f t="shared" si="20"/>
        <v>0.07098407161826244</v>
      </c>
      <c r="AJ39" s="1130">
        <v>13940</v>
      </c>
      <c r="AK39" s="872">
        <f t="shared" si="21"/>
        <v>0.05030293626249905</v>
      </c>
      <c r="AL39" s="897"/>
      <c r="AM39" s="677"/>
    </row>
    <row r="40" spans="1:39" ht="11.25" customHeight="1">
      <c r="A40" s="438" t="s">
        <v>388</v>
      </c>
      <c r="B40" s="874" t="s">
        <v>81</v>
      </c>
      <c r="C40" s="898">
        <v>56185366</v>
      </c>
      <c r="D40" s="872">
        <f t="shared" si="22"/>
        <v>0.25746472840972634</v>
      </c>
      <c r="E40" s="898"/>
      <c r="F40" s="898"/>
      <c r="G40" s="898"/>
      <c r="H40" s="898">
        <f t="shared" si="14"/>
        <v>0</v>
      </c>
      <c r="I40" s="872"/>
      <c r="J40" s="898"/>
      <c r="K40" s="872"/>
      <c r="L40" s="902">
        <v>82.74583333333334</v>
      </c>
      <c r="M40" s="902">
        <v>151.59166666666664</v>
      </c>
      <c r="N40" s="899">
        <f t="shared" si="15"/>
        <v>434.2520833333333</v>
      </c>
      <c r="O40" s="872">
        <f t="shared" si="23"/>
        <v>0.15165295765138392</v>
      </c>
      <c r="P40" s="1127">
        <v>0.4024640657084189</v>
      </c>
      <c r="Q40" s="1128">
        <v>1138.5</v>
      </c>
      <c r="R40" s="1127">
        <v>0</v>
      </c>
      <c r="S40" s="1128">
        <v>0</v>
      </c>
      <c r="T40" s="1127">
        <v>0.5890804597701149</v>
      </c>
      <c r="U40" s="1128">
        <v>527</v>
      </c>
      <c r="V40" s="1127">
        <v>0.3696969696969697</v>
      </c>
      <c r="W40" s="1128">
        <v>358</v>
      </c>
      <c r="X40" s="898">
        <f t="shared" si="24"/>
        <v>1320.927987711856</v>
      </c>
      <c r="Y40" s="872">
        <f t="shared" si="16"/>
        <v>0.04139640473519129</v>
      </c>
      <c r="Z40" s="1129">
        <v>607</v>
      </c>
      <c r="AA40" s="872">
        <f t="shared" si="17"/>
        <v>0.09973710154452843</v>
      </c>
      <c r="AB40" s="1129">
        <v>86</v>
      </c>
      <c r="AC40" s="872">
        <f>AB40/$AB$27</f>
        <v>0.025974025974025976</v>
      </c>
      <c r="AD40" s="903">
        <v>101.14416666666665</v>
      </c>
      <c r="AE40" s="872">
        <f t="shared" si="18"/>
        <v>0.2578673408685306</v>
      </c>
      <c r="AF40" s="901">
        <v>12873</v>
      </c>
      <c r="AG40" s="872">
        <f t="shared" si="19"/>
        <v>0.04717354499681185</v>
      </c>
      <c r="AH40" s="901">
        <v>17954</v>
      </c>
      <c r="AI40" s="872">
        <f t="shared" si="20"/>
        <v>0.03388768405217729</v>
      </c>
      <c r="AJ40" s="1130">
        <v>44371</v>
      </c>
      <c r="AK40" s="872">
        <f t="shared" si="21"/>
        <v>0.16011417395289423</v>
      </c>
      <c r="AL40" s="897"/>
      <c r="AM40" s="439"/>
    </row>
    <row r="41" spans="1:39" ht="11.25" customHeight="1">
      <c r="A41" s="438" t="s">
        <v>389</v>
      </c>
      <c r="B41" s="874" t="s">
        <v>87</v>
      </c>
      <c r="C41" s="898">
        <v>3891240</v>
      </c>
      <c r="D41" s="872">
        <f t="shared" si="22"/>
        <v>0.017831281009668312</v>
      </c>
      <c r="E41" s="898"/>
      <c r="F41" s="898"/>
      <c r="G41" s="898"/>
      <c r="H41" s="898">
        <f t="shared" si="14"/>
        <v>0</v>
      </c>
      <c r="I41" s="872"/>
      <c r="J41" s="898"/>
      <c r="K41" s="872"/>
      <c r="L41" s="902">
        <v>24.39583333333334</v>
      </c>
      <c r="M41" s="902">
        <v>47.31666666666667</v>
      </c>
      <c r="N41" s="899">
        <f t="shared" si="15"/>
        <v>131.96458333333337</v>
      </c>
      <c r="O41" s="872">
        <f t="shared" si="23"/>
        <v>0.04608571872381929</v>
      </c>
      <c r="P41" s="1127">
        <v>0.380178716490658</v>
      </c>
      <c r="Q41" s="1128">
        <v>2573</v>
      </c>
      <c r="R41" s="1127">
        <v>0.5119760479041916</v>
      </c>
      <c r="S41" s="1128">
        <v>636.5</v>
      </c>
      <c r="T41" s="1127">
        <v>0.5732574679943101</v>
      </c>
      <c r="U41" s="1128">
        <v>1143.5</v>
      </c>
      <c r="V41" s="1127">
        <v>0.21641791044776118</v>
      </c>
      <c r="W41" s="1128">
        <v>214.5</v>
      </c>
      <c r="X41" s="898">
        <f t="shared" si="24"/>
        <v>2915.4265211083825</v>
      </c>
      <c r="Y41" s="872">
        <f t="shared" si="16"/>
        <v>0.09136620418844507</v>
      </c>
      <c r="Z41" s="1129">
        <v>189</v>
      </c>
      <c r="AA41" s="872">
        <f t="shared" si="17"/>
        <v>0.03105488005257969</v>
      </c>
      <c r="AB41" s="1129">
        <v>9</v>
      </c>
      <c r="AC41" s="872">
        <f t="shared" si="25"/>
        <v>0.002718212020537602</v>
      </c>
      <c r="AD41" s="903">
        <v>8.120833333333332</v>
      </c>
      <c r="AE41" s="872">
        <f>AD41/AD$27</f>
        <v>0.02070408770289793</v>
      </c>
      <c r="AF41" s="901">
        <v>13292</v>
      </c>
      <c r="AG41" s="872">
        <f t="shared" si="19"/>
        <v>0.048708984704235465</v>
      </c>
      <c r="AH41" s="901">
        <v>20183</v>
      </c>
      <c r="AI41" s="872">
        <f t="shared" si="20"/>
        <v>0.03809486060070705</v>
      </c>
      <c r="AJ41" s="1130">
        <v>4700</v>
      </c>
      <c r="AK41" s="872">
        <f t="shared" si="21"/>
        <v>0.016960100461531246</v>
      </c>
      <c r="AL41" s="897"/>
      <c r="AM41" s="439"/>
    </row>
    <row r="42" spans="1:39" ht="11.25" customHeight="1">
      <c r="A42" s="438" t="s">
        <v>390</v>
      </c>
      <c r="B42" s="874" t="s">
        <v>45</v>
      </c>
      <c r="C42" s="898">
        <v>7087465</v>
      </c>
      <c r="D42" s="872">
        <f t="shared" si="22"/>
        <v>0.032477714060605054</v>
      </c>
      <c r="E42" s="898"/>
      <c r="F42" s="898"/>
      <c r="G42" s="898"/>
      <c r="H42" s="898">
        <f t="shared" si="14"/>
        <v>0</v>
      </c>
      <c r="I42" s="872"/>
      <c r="J42" s="898"/>
      <c r="K42" s="872"/>
      <c r="L42" s="902">
        <v>18.962499999999995</v>
      </c>
      <c r="M42" s="902">
        <v>43.29583333333334</v>
      </c>
      <c r="N42" s="899">
        <f t="shared" si="15"/>
        <v>112.35</v>
      </c>
      <c r="O42" s="872">
        <f t="shared" si="23"/>
        <v>0.039235758321174014</v>
      </c>
      <c r="P42" s="1127">
        <v>0.5421023665382498</v>
      </c>
      <c r="Q42" s="1128">
        <v>2109</v>
      </c>
      <c r="R42" s="1127">
        <v>0</v>
      </c>
      <c r="S42" s="1128">
        <v>0</v>
      </c>
      <c r="T42" s="1127">
        <v>0.5653071760454311</v>
      </c>
      <c r="U42" s="1128">
        <v>1320</v>
      </c>
      <c r="V42" s="1127">
        <v>0.10909090909090909</v>
      </c>
      <c r="W42" s="1128">
        <v>251</v>
      </c>
      <c r="X42" s="898">
        <f t="shared" si="24"/>
        <v>2344.747554144577</v>
      </c>
      <c r="Y42" s="872">
        <f t="shared" si="16"/>
        <v>0.07348176407508453</v>
      </c>
      <c r="Z42" s="1129">
        <v>467</v>
      </c>
      <c r="AA42" s="872">
        <f t="shared" si="17"/>
        <v>0.0767334866907657</v>
      </c>
      <c r="AB42" s="1129">
        <v>614</v>
      </c>
      <c r="AC42" s="872">
        <f t="shared" si="25"/>
        <v>0.18544246451223195</v>
      </c>
      <c r="AD42" s="903">
        <v>19.229333333333333</v>
      </c>
      <c r="AE42" s="872">
        <f t="shared" si="18"/>
        <v>0.04902524007818475</v>
      </c>
      <c r="AF42" s="901">
        <v>76180</v>
      </c>
      <c r="AG42" s="872">
        <f t="shared" si="19"/>
        <v>0.2791641931062788</v>
      </c>
      <c r="AH42" s="901">
        <v>95762</v>
      </c>
      <c r="AI42" s="872">
        <f t="shared" si="20"/>
        <v>0.180748156411084</v>
      </c>
      <c r="AJ42" s="1130">
        <v>35430</v>
      </c>
      <c r="AK42" s="872">
        <f t="shared" si="21"/>
        <v>0.12785028922384084</v>
      </c>
      <c r="AL42" s="897"/>
      <c r="AM42" s="439"/>
    </row>
    <row r="43" spans="1:39" ht="11.25" customHeight="1">
      <c r="A43" s="438" t="s">
        <v>391</v>
      </c>
      <c r="B43" s="874" t="s">
        <v>94</v>
      </c>
      <c r="C43" s="898">
        <v>1593735</v>
      </c>
      <c r="D43" s="872">
        <f t="shared" si="22"/>
        <v>0.007303156998782837</v>
      </c>
      <c r="E43" s="898"/>
      <c r="F43" s="898"/>
      <c r="G43" s="898"/>
      <c r="H43" s="898">
        <f t="shared" si="14"/>
        <v>0</v>
      </c>
      <c r="I43" s="872"/>
      <c r="J43" s="898"/>
      <c r="K43" s="872"/>
      <c r="L43" s="902">
        <v>6.583333333333333</v>
      </c>
      <c r="M43" s="902">
        <v>22.125</v>
      </c>
      <c r="N43" s="899">
        <f t="shared" si="15"/>
        <v>49.64583333333333</v>
      </c>
      <c r="O43" s="872">
        <f t="shared" si="23"/>
        <v>0.017337711778548745</v>
      </c>
      <c r="P43" s="1127">
        <v>0.4196078431372549</v>
      </c>
      <c r="Q43" s="1128">
        <v>1062</v>
      </c>
      <c r="R43" s="1127">
        <v>0</v>
      </c>
      <c r="S43" s="1128">
        <v>0</v>
      </c>
      <c r="T43" s="1127">
        <v>0.5904645476772616</v>
      </c>
      <c r="U43" s="1128">
        <v>611</v>
      </c>
      <c r="V43" s="1127">
        <v>0.11320754716981132</v>
      </c>
      <c r="W43" s="1128">
        <v>84</v>
      </c>
      <c r="X43" s="898">
        <f t="shared" si="24"/>
        <v>1015.3125892447674</v>
      </c>
      <c r="Y43" s="872">
        <f t="shared" si="16"/>
        <v>0.03181876019594174</v>
      </c>
      <c r="Z43" s="1129">
        <v>77</v>
      </c>
      <c r="AA43" s="872">
        <f t="shared" si="17"/>
        <v>0.012651988169569504</v>
      </c>
      <c r="AB43" s="1129">
        <v>127</v>
      </c>
      <c r="AC43" s="872">
        <f t="shared" si="25"/>
        <v>0.03835699184536394</v>
      </c>
      <c r="AD43" s="903">
        <v>3.1666666666666665</v>
      </c>
      <c r="AE43" s="872">
        <f t="shared" si="18"/>
        <v>0.00807342568199201</v>
      </c>
      <c r="AF43" s="901">
        <v>5252</v>
      </c>
      <c r="AG43" s="872">
        <f t="shared" si="19"/>
        <v>0.019246132084460178</v>
      </c>
      <c r="AH43" s="901">
        <v>16274</v>
      </c>
      <c r="AI43" s="872">
        <f t="shared" si="20"/>
        <v>0.03071672999137425</v>
      </c>
      <c r="AJ43" s="1130">
        <v>1610</v>
      </c>
      <c r="AK43" s="872">
        <f t="shared" si="21"/>
        <v>0.0058097365410777245</v>
      </c>
      <c r="AL43" s="897"/>
      <c r="AM43" s="439"/>
    </row>
    <row r="44" spans="1:39" ht="11.25" customHeight="1">
      <c r="A44" s="438" t="s">
        <v>392</v>
      </c>
      <c r="B44" s="874" t="s">
        <v>58</v>
      </c>
      <c r="C44" s="898">
        <v>3690371</v>
      </c>
      <c r="D44" s="872">
        <f t="shared" si="22"/>
        <v>0.016910815660542824</v>
      </c>
      <c r="E44" s="898"/>
      <c r="F44" s="898"/>
      <c r="G44" s="898"/>
      <c r="H44" s="898">
        <f t="shared" si="14"/>
        <v>0</v>
      </c>
      <c r="I44" s="872"/>
      <c r="J44" s="898"/>
      <c r="K44" s="872"/>
      <c r="L44" s="902">
        <v>10.224999999999998</v>
      </c>
      <c r="M44" s="902">
        <v>33.691666666666656</v>
      </c>
      <c r="N44" s="899">
        <f t="shared" si="15"/>
        <v>76.09999999999997</v>
      </c>
      <c r="O44" s="872">
        <f t="shared" si="23"/>
        <v>0.026576245734235348</v>
      </c>
      <c r="P44" s="1127">
        <v>0.10785953177257525</v>
      </c>
      <c r="Q44" s="1128">
        <v>1575.5</v>
      </c>
      <c r="R44" s="1127">
        <v>0</v>
      </c>
      <c r="S44" s="1128">
        <v>0</v>
      </c>
      <c r="T44" s="1127">
        <v>0.4006479481641469</v>
      </c>
      <c r="U44" s="1128">
        <v>624</v>
      </c>
      <c r="V44" s="1127">
        <v>0.13095238095238096</v>
      </c>
      <c r="W44" s="1128">
        <v>172</v>
      </c>
      <c r="X44" s="898">
        <f t="shared" si="24"/>
        <v>612.5106003607623</v>
      </c>
      <c r="Y44" s="872">
        <f t="shared" si="16"/>
        <v>0.019195396685515724</v>
      </c>
      <c r="Z44" s="1129">
        <v>326</v>
      </c>
      <c r="AA44" s="872">
        <f t="shared" si="17"/>
        <v>0.053565560302333226</v>
      </c>
      <c r="AB44" s="1129">
        <v>142</v>
      </c>
      <c r="AC44" s="872">
        <f t="shared" si="25"/>
        <v>0.04288734521292661</v>
      </c>
      <c r="AD44" s="903">
        <v>10.566666666666668</v>
      </c>
      <c r="AE44" s="872">
        <f t="shared" si="18"/>
        <v>0.02693974674938387</v>
      </c>
      <c r="AF44" s="901">
        <v>13066</v>
      </c>
      <c r="AG44" s="872">
        <f t="shared" si="19"/>
        <v>0.04788080004104278</v>
      </c>
      <c r="AH44" s="901">
        <v>34639</v>
      </c>
      <c r="AI44" s="872">
        <f t="shared" si="20"/>
        <v>0.06538016530485515</v>
      </c>
      <c r="AJ44" s="1130">
        <v>10732</v>
      </c>
      <c r="AK44" s="872">
        <f t="shared" si="21"/>
        <v>0.038726765564500706</v>
      </c>
      <c r="AL44" s="897"/>
      <c r="AM44" s="439"/>
    </row>
    <row r="45" spans="1:39" ht="11.25" customHeight="1">
      <c r="A45" s="438" t="s">
        <v>393</v>
      </c>
      <c r="B45" s="874" t="s">
        <v>373</v>
      </c>
      <c r="C45" s="898">
        <v>871253</v>
      </c>
      <c r="D45" s="872">
        <f t="shared" si="22"/>
        <v>0.003992443815728802</v>
      </c>
      <c r="E45" s="898"/>
      <c r="F45" s="898"/>
      <c r="G45" s="898"/>
      <c r="H45" s="898">
        <f t="shared" si="14"/>
        <v>0</v>
      </c>
      <c r="I45" s="872"/>
      <c r="J45" s="898"/>
      <c r="K45" s="872"/>
      <c r="L45" s="902">
        <v>2.125</v>
      </c>
      <c r="M45" s="902">
        <v>4.0875</v>
      </c>
      <c r="N45" s="899">
        <f t="shared" si="15"/>
        <v>11.443750000000001</v>
      </c>
      <c r="O45" s="872">
        <f t="shared" si="23"/>
        <v>0.003996477163221497</v>
      </c>
      <c r="P45" s="1127">
        <v>0</v>
      </c>
      <c r="Q45" s="1128">
        <v>0</v>
      </c>
      <c r="R45" s="1127">
        <v>0</v>
      </c>
      <c r="S45" s="1128">
        <v>0</v>
      </c>
      <c r="T45" s="1127">
        <v>0</v>
      </c>
      <c r="U45" s="1128">
        <v>0</v>
      </c>
      <c r="V45" s="1127">
        <v>0.04807692307692308</v>
      </c>
      <c r="W45" s="1128">
        <v>69</v>
      </c>
      <c r="X45" s="898">
        <f t="shared" si="24"/>
        <v>9.951923076923078</v>
      </c>
      <c r="Y45" s="872">
        <f t="shared" si="16"/>
        <v>0.00031188213090967143</v>
      </c>
      <c r="Z45" s="1129">
        <v>89</v>
      </c>
      <c r="AA45" s="872">
        <f t="shared" si="17"/>
        <v>0.01462372658560631</v>
      </c>
      <c r="AB45" s="1129">
        <v>0</v>
      </c>
      <c r="AC45" s="872">
        <f t="shared" si="25"/>
        <v>0</v>
      </c>
      <c r="AD45" s="903">
        <v>16.655166666666663</v>
      </c>
      <c r="AE45" s="872">
        <f t="shared" si="18"/>
        <v>0.04246239483300755</v>
      </c>
      <c r="AF45" s="901">
        <v>200</v>
      </c>
      <c r="AG45" s="872">
        <f t="shared" si="19"/>
        <v>0.00073290678158645</v>
      </c>
      <c r="AH45" s="901">
        <v>0</v>
      </c>
      <c r="AI45" s="872">
        <f t="shared" si="20"/>
        <v>0</v>
      </c>
      <c r="AJ45" s="1130">
        <v>26</v>
      </c>
      <c r="AK45" s="872">
        <f t="shared" si="21"/>
        <v>9.38218323403856E-05</v>
      </c>
      <c r="AL45" s="897"/>
      <c r="AM45" s="439"/>
    </row>
    <row r="46" spans="1:39" ht="11.25" customHeight="1">
      <c r="A46" s="438"/>
      <c r="B46" s="574"/>
      <c r="C46" s="906"/>
      <c r="D46" s="885"/>
      <c r="E46" s="905"/>
      <c r="F46" s="906"/>
      <c r="G46" s="906"/>
      <c r="H46" s="895"/>
      <c r="I46" s="895"/>
      <c r="J46" s="906"/>
      <c r="K46" s="885"/>
      <c r="L46" s="907"/>
      <c r="M46" s="907"/>
      <c r="N46" s="907"/>
      <c r="O46" s="885"/>
      <c r="P46" s="908"/>
      <c r="Q46" s="908"/>
      <c r="R46" s="906"/>
      <c r="S46" s="906"/>
      <c r="T46" s="906"/>
      <c r="U46" s="906"/>
      <c r="V46" s="906"/>
      <c r="W46" s="906"/>
      <c r="X46" s="906"/>
      <c r="Y46" s="885"/>
      <c r="Z46" s="906"/>
      <c r="AA46" s="885"/>
      <c r="AB46" s="906"/>
      <c r="AC46" s="885"/>
      <c r="AD46" s="909"/>
      <c r="AE46" s="885"/>
      <c r="AF46" s="909"/>
      <c r="AG46" s="885"/>
      <c r="AH46" s="909"/>
      <c r="AI46" s="885"/>
      <c r="AJ46" s="906"/>
      <c r="AK46" s="885"/>
      <c r="AL46" s="897"/>
      <c r="AM46" s="439"/>
    </row>
    <row r="47" spans="1:44" ht="18">
      <c r="A47" s="836" t="s">
        <v>687</v>
      </c>
      <c r="B47" s="440" t="s">
        <v>634</v>
      </c>
      <c r="C47" s="898"/>
      <c r="D47" s="871"/>
      <c r="E47" s="898">
        <f aca="true" t="shared" si="26" ref="E47:O47">SUM(E48:E65)</f>
        <v>1510134.1733899997</v>
      </c>
      <c r="F47" s="898">
        <f t="shared" si="26"/>
        <v>50531.79318</v>
      </c>
      <c r="G47" s="898">
        <f>SUM(G48:G65)</f>
        <v>30496.863110000002</v>
      </c>
      <c r="H47" s="898">
        <f t="shared" si="26"/>
        <v>1591162.8296799997</v>
      </c>
      <c r="I47" s="871">
        <f t="shared" si="26"/>
        <v>1</v>
      </c>
      <c r="J47" s="898">
        <f t="shared" si="26"/>
        <v>89627.65359999999</v>
      </c>
      <c r="K47" s="871">
        <f t="shared" si="26"/>
        <v>1</v>
      </c>
      <c r="L47" s="899">
        <f t="shared" si="26"/>
        <v>584.9958333333334</v>
      </c>
      <c r="M47" s="899">
        <f t="shared" si="26"/>
        <v>914.7520833333332</v>
      </c>
      <c r="N47" s="899">
        <f t="shared" si="26"/>
        <v>2834.6177083333337</v>
      </c>
      <c r="O47" s="872">
        <f t="shared" si="26"/>
        <v>0.9999999999999999</v>
      </c>
      <c r="P47" s="906"/>
      <c r="Q47" s="906"/>
      <c r="R47" s="906"/>
      <c r="S47" s="906"/>
      <c r="T47" s="906"/>
      <c r="U47" s="906"/>
      <c r="V47" s="906"/>
      <c r="W47" s="906"/>
      <c r="X47" s="906"/>
      <c r="Y47" s="910"/>
      <c r="Z47" s="906"/>
      <c r="AA47" s="910"/>
      <c r="AB47" s="906"/>
      <c r="AC47" s="910"/>
      <c r="AD47" s="909"/>
      <c r="AE47" s="910"/>
      <c r="AF47" s="901">
        <f>SUM(AF48:AF65)</f>
        <v>273321</v>
      </c>
      <c r="AG47" s="871">
        <f>SUM(AG48:AG65)</f>
        <v>1</v>
      </c>
      <c r="AH47" s="901">
        <f>SUM(AH48:AH65)</f>
        <v>493861</v>
      </c>
      <c r="AI47" s="871">
        <f>SUM(AI48:AI65)</f>
        <v>1</v>
      </c>
      <c r="AJ47" s="906"/>
      <c r="AK47" s="910"/>
      <c r="AL47" s="897"/>
      <c r="AM47" s="439"/>
      <c r="AR47" s="424"/>
    </row>
    <row r="48" spans="1:44" ht="11.25" customHeight="1">
      <c r="A48" s="441" t="s">
        <v>376</v>
      </c>
      <c r="B48" s="875" t="s">
        <v>371</v>
      </c>
      <c r="C48" s="898"/>
      <c r="D48" s="872"/>
      <c r="E48" s="898">
        <v>4370</v>
      </c>
      <c r="F48" s="898">
        <v>734.2339</v>
      </c>
      <c r="G48" s="898"/>
      <c r="H48" s="898">
        <v>5104.2339</v>
      </c>
      <c r="I48" s="871">
        <f>H48/$H$47</f>
        <v>0.0032078639626256966</v>
      </c>
      <c r="J48" s="898"/>
      <c r="K48" s="872">
        <f aca="true" t="shared" si="27" ref="K48:K65">+J48/J$47</f>
        <v>0</v>
      </c>
      <c r="L48" s="899">
        <v>6.566666666666667</v>
      </c>
      <c r="M48" s="899">
        <v>10.991666666666667</v>
      </c>
      <c r="N48" s="899">
        <f aca="true" t="shared" si="28" ref="N48:N65">L48*2.5+M48*1.5</f>
        <v>32.90416666666667</v>
      </c>
      <c r="O48" s="872">
        <f>N48/$N$47</f>
        <v>0.011607973297398641</v>
      </c>
      <c r="P48" s="908"/>
      <c r="Q48" s="908"/>
      <c r="R48" s="906"/>
      <c r="S48" s="906"/>
      <c r="T48" s="906"/>
      <c r="U48" s="906"/>
      <c r="V48" s="906"/>
      <c r="W48" s="906"/>
      <c r="X48" s="906"/>
      <c r="Y48" s="885"/>
      <c r="Z48" s="911"/>
      <c r="AA48" s="885"/>
      <c r="AB48" s="911"/>
      <c r="AC48" s="885"/>
      <c r="AD48" s="911"/>
      <c r="AE48" s="885"/>
      <c r="AF48" s="901">
        <v>149</v>
      </c>
      <c r="AG48" s="871">
        <f aca="true" t="shared" si="29" ref="AG48:AG65">AF48/AF$47</f>
        <v>0.000545146549295517</v>
      </c>
      <c r="AH48" s="901">
        <v>2169</v>
      </c>
      <c r="AI48" s="871">
        <f aca="true" t="shared" si="30" ref="AI48:AI65">AH48/AH$47</f>
        <v>0.004391924043404926</v>
      </c>
      <c r="AJ48" s="911"/>
      <c r="AK48" s="885"/>
      <c r="AL48" s="897"/>
      <c r="AM48" s="439"/>
      <c r="AR48" s="424"/>
    </row>
    <row r="49" spans="1:44" ht="11.25" customHeight="1">
      <c r="A49" s="438" t="s">
        <v>377</v>
      </c>
      <c r="B49" s="870" t="s">
        <v>68</v>
      </c>
      <c r="C49" s="898"/>
      <c r="D49" s="872"/>
      <c r="E49" s="898">
        <v>28910.18827</v>
      </c>
      <c r="F49" s="898">
        <v>163.262</v>
      </c>
      <c r="G49" s="898"/>
      <c r="H49" s="898">
        <v>29073.450269999998</v>
      </c>
      <c r="I49" s="871">
        <f aca="true" t="shared" si="31" ref="I49:I65">H49/$H$47</f>
        <v>0.018271825942444236</v>
      </c>
      <c r="J49" s="898">
        <v>1910.51871</v>
      </c>
      <c r="K49" s="872">
        <f t="shared" si="27"/>
        <v>0.021316174565123282</v>
      </c>
      <c r="L49" s="899">
        <v>6.599999999999999</v>
      </c>
      <c r="M49" s="899">
        <v>8.825000000000001</v>
      </c>
      <c r="N49" s="899">
        <f t="shared" si="28"/>
        <v>29.737499999999997</v>
      </c>
      <c r="O49" s="872">
        <f aca="true" t="shared" si="32" ref="O49:O65">N49/$N$47</f>
        <v>0.010490832648288475</v>
      </c>
      <c r="P49" s="908"/>
      <c r="Q49" s="908"/>
      <c r="R49" s="906"/>
      <c r="S49" s="906"/>
      <c r="T49" s="906"/>
      <c r="U49" s="906"/>
      <c r="V49" s="906"/>
      <c r="W49" s="906"/>
      <c r="X49" s="906"/>
      <c r="Y49" s="885"/>
      <c r="Z49" s="911"/>
      <c r="AA49" s="885"/>
      <c r="AB49" s="911"/>
      <c r="AC49" s="885"/>
      <c r="AD49" s="911"/>
      <c r="AE49" s="885"/>
      <c r="AF49" s="901">
        <v>2719</v>
      </c>
      <c r="AG49" s="871">
        <f t="shared" si="29"/>
        <v>0.009948009849224905</v>
      </c>
      <c r="AH49" s="901">
        <v>3749</v>
      </c>
      <c r="AI49" s="871">
        <f t="shared" si="30"/>
        <v>0.00759120481269021</v>
      </c>
      <c r="AJ49" s="911"/>
      <c r="AK49" s="885"/>
      <c r="AL49" s="904"/>
      <c r="AM49" s="442"/>
      <c r="AR49" s="424"/>
    </row>
    <row r="50" spans="1:39" ht="11.25" customHeight="1">
      <c r="A50" s="438" t="s">
        <v>378</v>
      </c>
      <c r="B50" s="870" t="s">
        <v>372</v>
      </c>
      <c r="C50" s="898"/>
      <c r="D50" s="872"/>
      <c r="E50" s="898">
        <v>3292.449999999999</v>
      </c>
      <c r="F50" s="898">
        <v>509.93</v>
      </c>
      <c r="G50" s="898"/>
      <c r="H50" s="898">
        <v>3802.3799999999987</v>
      </c>
      <c r="I50" s="871">
        <f t="shared" si="31"/>
        <v>0.002389686290475186</v>
      </c>
      <c r="J50" s="898"/>
      <c r="K50" s="872">
        <f t="shared" si="27"/>
        <v>0</v>
      </c>
      <c r="L50" s="899">
        <v>7.083333333333333</v>
      </c>
      <c r="M50" s="899">
        <v>12.674999999999997</v>
      </c>
      <c r="N50" s="899">
        <f t="shared" si="28"/>
        <v>36.72083333333333</v>
      </c>
      <c r="O50" s="872">
        <f t="shared" si="32"/>
        <v>0.012954421763957733</v>
      </c>
      <c r="P50" s="908"/>
      <c r="Q50" s="908"/>
      <c r="R50" s="906"/>
      <c r="S50" s="906"/>
      <c r="T50" s="906"/>
      <c r="U50" s="906"/>
      <c r="V50" s="906"/>
      <c r="W50" s="906"/>
      <c r="X50" s="906"/>
      <c r="Y50" s="885"/>
      <c r="Z50" s="911"/>
      <c r="AA50" s="885"/>
      <c r="AB50" s="911"/>
      <c r="AC50" s="885"/>
      <c r="AD50" s="911"/>
      <c r="AE50" s="885"/>
      <c r="AF50" s="901">
        <v>3187</v>
      </c>
      <c r="AG50" s="871">
        <f t="shared" si="29"/>
        <v>0.011660282232247065</v>
      </c>
      <c r="AH50" s="901">
        <v>2315</v>
      </c>
      <c r="AI50" s="871">
        <f t="shared" si="30"/>
        <v>0.004687553785376857</v>
      </c>
      <c r="AJ50" s="911"/>
      <c r="AK50" s="885"/>
      <c r="AL50" s="904"/>
      <c r="AM50" s="442"/>
    </row>
    <row r="51" spans="1:39" ht="11.25" customHeight="1">
      <c r="A51" s="438" t="s">
        <v>379</v>
      </c>
      <c r="B51" s="870" t="s">
        <v>42</v>
      </c>
      <c r="C51" s="898"/>
      <c r="D51" s="872"/>
      <c r="E51" s="898">
        <v>16382</v>
      </c>
      <c r="F51" s="898">
        <v>9689.42105</v>
      </c>
      <c r="G51" s="898">
        <v>37.4328</v>
      </c>
      <c r="H51" s="898">
        <v>26108.85385</v>
      </c>
      <c r="I51" s="871">
        <f t="shared" si="31"/>
        <v>0.016408662497005903</v>
      </c>
      <c r="J51" s="898"/>
      <c r="K51" s="872">
        <f t="shared" si="27"/>
        <v>0</v>
      </c>
      <c r="L51" s="899">
        <v>23.524999999999995</v>
      </c>
      <c r="M51" s="899">
        <v>41.15624999999999</v>
      </c>
      <c r="N51" s="899">
        <f t="shared" si="28"/>
        <v>120.54687499999997</v>
      </c>
      <c r="O51" s="872">
        <f t="shared" si="32"/>
        <v>0.04252667816390583</v>
      </c>
      <c r="P51" s="908"/>
      <c r="Q51" s="908"/>
      <c r="R51" s="906"/>
      <c r="S51" s="906"/>
      <c r="T51" s="906"/>
      <c r="U51" s="906"/>
      <c r="V51" s="906"/>
      <c r="W51" s="906"/>
      <c r="X51" s="906"/>
      <c r="Y51" s="885"/>
      <c r="Z51" s="911"/>
      <c r="AA51" s="885"/>
      <c r="AB51" s="911"/>
      <c r="AC51" s="885"/>
      <c r="AD51" s="911"/>
      <c r="AE51" s="885"/>
      <c r="AF51" s="901">
        <v>39336</v>
      </c>
      <c r="AG51" s="871">
        <f t="shared" si="29"/>
        <v>0.1439186890140165</v>
      </c>
      <c r="AH51" s="901">
        <v>35200</v>
      </c>
      <c r="AI51" s="871">
        <f t="shared" si="30"/>
        <v>0.07127511587268483</v>
      </c>
      <c r="AJ51" s="911"/>
      <c r="AK51" s="885"/>
      <c r="AL51" s="904"/>
      <c r="AM51" s="442"/>
    </row>
    <row r="52" spans="1:39" ht="11.25" customHeight="1">
      <c r="A52" s="438" t="s">
        <v>380</v>
      </c>
      <c r="B52" s="870" t="s">
        <v>8</v>
      </c>
      <c r="C52" s="898"/>
      <c r="D52" s="872"/>
      <c r="E52" s="898">
        <v>204335.53683</v>
      </c>
      <c r="F52" s="898">
        <v>6165.19378</v>
      </c>
      <c r="G52" s="898">
        <v>8076.046909999999</v>
      </c>
      <c r="H52" s="898">
        <v>218576.77752</v>
      </c>
      <c r="I52" s="871">
        <f t="shared" si="31"/>
        <v>0.13736920787922013</v>
      </c>
      <c r="J52" s="898">
        <v>9479.241109999999</v>
      </c>
      <c r="K52" s="872">
        <f t="shared" si="27"/>
        <v>0.10576245979064658</v>
      </c>
      <c r="L52" s="899">
        <v>115.575</v>
      </c>
      <c r="M52" s="899">
        <v>106.31666666666666</v>
      </c>
      <c r="N52" s="899">
        <f t="shared" si="28"/>
        <v>448.4125</v>
      </c>
      <c r="O52" s="872">
        <f t="shared" si="32"/>
        <v>0.15819152567971945</v>
      </c>
      <c r="P52" s="908"/>
      <c r="Q52" s="908"/>
      <c r="R52" s="906"/>
      <c r="S52" s="906"/>
      <c r="T52" s="906"/>
      <c r="U52" s="906"/>
      <c r="V52" s="906"/>
      <c r="W52" s="906"/>
      <c r="X52" s="906"/>
      <c r="Y52" s="885"/>
      <c r="Z52" s="911"/>
      <c r="AA52" s="885"/>
      <c r="AB52" s="911"/>
      <c r="AC52" s="885"/>
      <c r="AD52" s="911"/>
      <c r="AE52" s="885"/>
      <c r="AF52" s="901">
        <v>14249</v>
      </c>
      <c r="AG52" s="871">
        <f t="shared" si="29"/>
        <v>0.052132840140347796</v>
      </c>
      <c r="AH52" s="901">
        <v>20607</v>
      </c>
      <c r="AI52" s="871">
        <f t="shared" si="30"/>
        <v>0.041726315704216366</v>
      </c>
      <c r="AJ52" s="911"/>
      <c r="AK52" s="885"/>
      <c r="AL52" s="904"/>
      <c r="AM52" s="442"/>
    </row>
    <row r="53" spans="1:39" ht="11.25" customHeight="1">
      <c r="A53" s="438" t="s">
        <v>381</v>
      </c>
      <c r="B53" s="870" t="s">
        <v>22</v>
      </c>
      <c r="C53" s="898"/>
      <c r="D53" s="872"/>
      <c r="E53" s="898">
        <v>107066</v>
      </c>
      <c r="F53" s="898">
        <v>2894.504</v>
      </c>
      <c r="G53" s="898">
        <v>3817.6269199999997</v>
      </c>
      <c r="H53" s="898">
        <v>113778.13092</v>
      </c>
      <c r="I53" s="871">
        <f t="shared" si="31"/>
        <v>0.07150627754601459</v>
      </c>
      <c r="J53" s="898"/>
      <c r="K53" s="872">
        <f t="shared" si="27"/>
        <v>0</v>
      </c>
      <c r="L53" s="899">
        <v>44.63333333333332</v>
      </c>
      <c r="M53" s="899">
        <v>37.88333333333334</v>
      </c>
      <c r="N53" s="899">
        <f t="shared" si="28"/>
        <v>168.4083333333333</v>
      </c>
      <c r="O53" s="872">
        <f t="shared" si="32"/>
        <v>0.0594113036259666</v>
      </c>
      <c r="P53" s="908"/>
      <c r="Q53" s="908"/>
      <c r="R53" s="906"/>
      <c r="S53" s="906"/>
      <c r="T53" s="906"/>
      <c r="U53" s="906"/>
      <c r="V53" s="906"/>
      <c r="W53" s="906"/>
      <c r="X53" s="906"/>
      <c r="Y53" s="885"/>
      <c r="Z53" s="911"/>
      <c r="AA53" s="885"/>
      <c r="AB53" s="911"/>
      <c r="AC53" s="885"/>
      <c r="AD53" s="911"/>
      <c r="AE53" s="885"/>
      <c r="AF53" s="901">
        <v>6078</v>
      </c>
      <c r="AG53" s="871">
        <f t="shared" si="29"/>
        <v>0.022237588769249344</v>
      </c>
      <c r="AH53" s="901">
        <v>6375</v>
      </c>
      <c r="AI53" s="871">
        <f t="shared" si="30"/>
        <v>0.012908490445692209</v>
      </c>
      <c r="AJ53" s="911"/>
      <c r="AK53" s="885"/>
      <c r="AL53" s="904"/>
      <c r="AM53" s="442"/>
    </row>
    <row r="54" spans="1:39" ht="11.25" customHeight="1">
      <c r="A54" s="438" t="s">
        <v>382</v>
      </c>
      <c r="B54" s="870" t="s">
        <v>21</v>
      </c>
      <c r="C54" s="898"/>
      <c r="D54" s="872"/>
      <c r="E54" s="898">
        <v>56631</v>
      </c>
      <c r="F54" s="898">
        <v>436.3048</v>
      </c>
      <c r="G54" s="898"/>
      <c r="H54" s="898">
        <v>57067.3048</v>
      </c>
      <c r="I54" s="871">
        <f t="shared" si="31"/>
        <v>0.03586515706345205</v>
      </c>
      <c r="J54" s="898"/>
      <c r="K54" s="872">
        <f t="shared" si="27"/>
        <v>0</v>
      </c>
      <c r="L54" s="899">
        <v>39.725</v>
      </c>
      <c r="M54" s="899">
        <v>57.666666666666664</v>
      </c>
      <c r="N54" s="899">
        <f t="shared" si="28"/>
        <v>185.8125</v>
      </c>
      <c r="O54" s="872">
        <f t="shared" si="32"/>
        <v>0.06555116743035233</v>
      </c>
      <c r="P54" s="908"/>
      <c r="Q54" s="908"/>
      <c r="R54" s="906"/>
      <c r="S54" s="906"/>
      <c r="T54" s="906"/>
      <c r="U54" s="906"/>
      <c r="V54" s="906"/>
      <c r="W54" s="906"/>
      <c r="X54" s="906"/>
      <c r="Y54" s="885"/>
      <c r="Z54" s="911"/>
      <c r="AA54" s="885"/>
      <c r="AB54" s="911"/>
      <c r="AC54" s="885"/>
      <c r="AD54" s="911"/>
      <c r="AE54" s="885"/>
      <c r="AF54" s="901">
        <v>11155</v>
      </c>
      <c r="AG54" s="871">
        <f t="shared" si="29"/>
        <v>0.04081281716370129</v>
      </c>
      <c r="AH54" s="901">
        <v>10435</v>
      </c>
      <c r="AI54" s="871">
        <f>AH54/AH$47</f>
        <v>0.02112942710600756</v>
      </c>
      <c r="AJ54" s="911"/>
      <c r="AK54" s="885"/>
      <c r="AL54" s="904"/>
      <c r="AM54" s="442"/>
    </row>
    <row r="55" spans="1:39" ht="11.25" customHeight="1">
      <c r="A55" s="438" t="s">
        <v>383</v>
      </c>
      <c r="B55" s="870" t="s">
        <v>23</v>
      </c>
      <c r="C55" s="898"/>
      <c r="D55" s="872"/>
      <c r="E55" s="898">
        <v>24289.999999999993</v>
      </c>
      <c r="F55" s="898">
        <v>2169.999</v>
      </c>
      <c r="G55" s="898">
        <v>1779.07854</v>
      </c>
      <c r="H55" s="898">
        <v>28239.07753999999</v>
      </c>
      <c r="I55" s="871">
        <f t="shared" si="31"/>
        <v>0.01774744671837211</v>
      </c>
      <c r="J55" s="898">
        <v>85.90811</v>
      </c>
      <c r="K55" s="872">
        <f t="shared" si="27"/>
        <v>0.0009585000449013206</v>
      </c>
      <c r="L55" s="899">
        <v>23.791666666666668</v>
      </c>
      <c r="M55" s="899">
        <v>51.42916666666667</v>
      </c>
      <c r="N55" s="899">
        <f t="shared" si="28"/>
        <v>136.62291666666667</v>
      </c>
      <c r="O55" s="872">
        <f t="shared" si="32"/>
        <v>0.04819800436052333</v>
      </c>
      <c r="P55" s="908"/>
      <c r="Q55" s="908"/>
      <c r="R55" s="906"/>
      <c r="S55" s="906"/>
      <c r="T55" s="906"/>
      <c r="U55" s="906"/>
      <c r="V55" s="906"/>
      <c r="W55" s="906"/>
      <c r="X55" s="906"/>
      <c r="Y55" s="885"/>
      <c r="Z55" s="911"/>
      <c r="AA55" s="885"/>
      <c r="AB55" s="911"/>
      <c r="AC55" s="885"/>
      <c r="AD55" s="911"/>
      <c r="AE55" s="885"/>
      <c r="AF55" s="901">
        <v>7577</v>
      </c>
      <c r="AG55" s="871">
        <f t="shared" si="29"/>
        <v>0.027721982577262633</v>
      </c>
      <c r="AH55" s="901">
        <v>6316</v>
      </c>
      <c r="AI55" s="871">
        <f t="shared" si="30"/>
        <v>0.012789023632155606</v>
      </c>
      <c r="AJ55" s="911"/>
      <c r="AK55" s="885"/>
      <c r="AL55" s="904"/>
      <c r="AM55" s="442"/>
    </row>
    <row r="56" spans="1:39" ht="11.25" customHeight="1">
      <c r="A56" s="438" t="s">
        <v>384</v>
      </c>
      <c r="B56" s="870" t="s">
        <v>24</v>
      </c>
      <c r="C56" s="898"/>
      <c r="D56" s="872"/>
      <c r="E56" s="898">
        <v>34171.367</v>
      </c>
      <c r="F56" s="898">
        <v>477.94</v>
      </c>
      <c r="G56" s="898">
        <v>68.8037</v>
      </c>
      <c r="H56" s="898">
        <v>34718.1107</v>
      </c>
      <c r="I56" s="871">
        <f t="shared" si="31"/>
        <v>0.021819332410487613</v>
      </c>
      <c r="J56" s="898"/>
      <c r="K56" s="872">
        <f t="shared" si="27"/>
        <v>0</v>
      </c>
      <c r="L56" s="899">
        <v>33.80833333333333</v>
      </c>
      <c r="M56" s="899">
        <v>40.69583333333333</v>
      </c>
      <c r="N56" s="899">
        <f t="shared" si="28"/>
        <v>145.56458333333333</v>
      </c>
      <c r="O56" s="872">
        <f t="shared" si="32"/>
        <v>0.05135245677235282</v>
      </c>
      <c r="P56" s="908"/>
      <c r="Q56" s="908"/>
      <c r="R56" s="906"/>
      <c r="S56" s="906"/>
      <c r="T56" s="906"/>
      <c r="U56" s="906"/>
      <c r="V56" s="906"/>
      <c r="W56" s="906"/>
      <c r="X56" s="906"/>
      <c r="Y56" s="885"/>
      <c r="Z56" s="911"/>
      <c r="AA56" s="885"/>
      <c r="AB56" s="911"/>
      <c r="AC56" s="885"/>
      <c r="AD56" s="911"/>
      <c r="AE56" s="885"/>
      <c r="AF56" s="901">
        <v>5032</v>
      </c>
      <c r="AG56" s="871">
        <f t="shared" si="29"/>
        <v>0.018410586819161353</v>
      </c>
      <c r="AH56" s="901">
        <v>4849</v>
      </c>
      <c r="AI56" s="871">
        <f t="shared" si="30"/>
        <v>0.009818552183711611</v>
      </c>
      <c r="AJ56" s="911"/>
      <c r="AK56" s="885"/>
      <c r="AL56" s="897"/>
      <c r="AM56" s="439"/>
    </row>
    <row r="57" spans="1:39" ht="11.25" customHeight="1">
      <c r="A57" s="438" t="s">
        <v>385</v>
      </c>
      <c r="B57" s="870" t="s">
        <v>31</v>
      </c>
      <c r="C57" s="898"/>
      <c r="D57" s="872"/>
      <c r="E57" s="898">
        <v>63985.99999999999</v>
      </c>
      <c r="F57" s="898">
        <v>666.62088</v>
      </c>
      <c r="G57" s="898">
        <v>643.98978</v>
      </c>
      <c r="H57" s="898">
        <v>65296.61066</v>
      </c>
      <c r="I57" s="871">
        <f t="shared" si="31"/>
        <v>0.04103703872540302</v>
      </c>
      <c r="J57" s="898"/>
      <c r="K57" s="872">
        <f t="shared" si="27"/>
        <v>0</v>
      </c>
      <c r="L57" s="899">
        <v>19.75</v>
      </c>
      <c r="M57" s="899">
        <v>24.091666666666665</v>
      </c>
      <c r="N57" s="899">
        <f t="shared" si="28"/>
        <v>85.51249999999999</v>
      </c>
      <c r="O57" s="872">
        <f t="shared" si="32"/>
        <v>0.030167207291694604</v>
      </c>
      <c r="P57" s="908"/>
      <c r="Q57" s="908"/>
      <c r="R57" s="906"/>
      <c r="S57" s="906"/>
      <c r="T57" s="906"/>
      <c r="U57" s="906"/>
      <c r="V57" s="906"/>
      <c r="W57" s="906"/>
      <c r="X57" s="906"/>
      <c r="Y57" s="885"/>
      <c r="Z57" s="911"/>
      <c r="AA57" s="885"/>
      <c r="AB57" s="911"/>
      <c r="AC57" s="885"/>
      <c r="AD57" s="911"/>
      <c r="AE57" s="885"/>
      <c r="AF57" s="901">
        <v>2655</v>
      </c>
      <c r="AG57" s="871">
        <f>AF57/AF$47</f>
        <v>0.00971385294214495</v>
      </c>
      <c r="AH57" s="901">
        <v>7585</v>
      </c>
      <c r="AI57" s="871">
        <f t="shared" si="30"/>
        <v>0.01535857255381575</v>
      </c>
      <c r="AJ57" s="911"/>
      <c r="AK57" s="885"/>
      <c r="AL57" s="897"/>
      <c r="AM57" s="439"/>
    </row>
    <row r="58" spans="1:39" ht="11.25" customHeight="1">
      <c r="A58" s="438" t="s">
        <v>386</v>
      </c>
      <c r="B58" s="870" t="s">
        <v>37</v>
      </c>
      <c r="C58" s="898"/>
      <c r="D58" s="872"/>
      <c r="E58" s="898">
        <v>109333.06363</v>
      </c>
      <c r="F58" s="898">
        <v>4104.96887</v>
      </c>
      <c r="G58" s="898">
        <v>565.20991</v>
      </c>
      <c r="H58" s="898">
        <v>114003.24241</v>
      </c>
      <c r="I58" s="871">
        <f t="shared" si="31"/>
        <v>0.07164775363243453</v>
      </c>
      <c r="J58" s="898">
        <v>1110.8772</v>
      </c>
      <c r="K58" s="872">
        <f t="shared" si="27"/>
        <v>0.012394357716400154</v>
      </c>
      <c r="L58" s="899">
        <v>60.36250000000001</v>
      </c>
      <c r="M58" s="899">
        <v>109.80208333333333</v>
      </c>
      <c r="N58" s="899">
        <f t="shared" si="28"/>
        <v>315.609375</v>
      </c>
      <c r="O58" s="872">
        <f t="shared" si="32"/>
        <v>0.11134107222718524</v>
      </c>
      <c r="P58" s="908"/>
      <c r="Q58" s="908"/>
      <c r="R58" s="906"/>
      <c r="S58" s="906"/>
      <c r="T58" s="906"/>
      <c r="U58" s="906"/>
      <c r="V58" s="906"/>
      <c r="W58" s="906"/>
      <c r="X58" s="906"/>
      <c r="Y58" s="885"/>
      <c r="Z58" s="911"/>
      <c r="AA58" s="885"/>
      <c r="AB58" s="911"/>
      <c r="AC58" s="885"/>
      <c r="AD58" s="911"/>
      <c r="AE58" s="885"/>
      <c r="AF58" s="901">
        <v>54650</v>
      </c>
      <c r="AG58" s="871">
        <f t="shared" si="29"/>
        <v>0.19994804643624164</v>
      </c>
      <c r="AH58" s="901">
        <v>176492</v>
      </c>
      <c r="AI58" s="871">
        <f t="shared" si="30"/>
        <v>0.3573718110966446</v>
      </c>
      <c r="AJ58" s="911"/>
      <c r="AK58" s="885"/>
      <c r="AL58" s="897"/>
      <c r="AM58" s="439"/>
    </row>
    <row r="59" spans="1:39" ht="11.25" customHeight="1">
      <c r="A59" s="438" t="s">
        <v>387</v>
      </c>
      <c r="B59" s="876" t="s">
        <v>72</v>
      </c>
      <c r="C59" s="898"/>
      <c r="D59" s="872"/>
      <c r="E59" s="898">
        <v>370693.30793999997</v>
      </c>
      <c r="F59" s="898">
        <v>1699.071</v>
      </c>
      <c r="G59" s="898">
        <v>2523.94713</v>
      </c>
      <c r="H59" s="898">
        <v>374916.32606999995</v>
      </c>
      <c r="I59" s="871">
        <f t="shared" si="31"/>
        <v>0.23562411029008246</v>
      </c>
      <c r="J59" s="898">
        <v>28242.16875</v>
      </c>
      <c r="K59" s="872">
        <f t="shared" si="27"/>
        <v>0.3151055239719006</v>
      </c>
      <c r="L59" s="899">
        <v>61.583333333333336</v>
      </c>
      <c r="M59" s="899">
        <v>115.97916666666667</v>
      </c>
      <c r="N59" s="899">
        <f t="shared" si="28"/>
        <v>327.92708333333337</v>
      </c>
      <c r="O59" s="872">
        <f t="shared" si="32"/>
        <v>0.11568652886393778</v>
      </c>
      <c r="P59" s="908"/>
      <c r="Q59" s="908"/>
      <c r="R59" s="906"/>
      <c r="S59" s="906"/>
      <c r="T59" s="906"/>
      <c r="U59" s="906"/>
      <c r="V59" s="906"/>
      <c r="W59" s="906"/>
      <c r="X59" s="906"/>
      <c r="Y59" s="885"/>
      <c r="Z59" s="911"/>
      <c r="AA59" s="885"/>
      <c r="AB59" s="911"/>
      <c r="AC59" s="885"/>
      <c r="AD59" s="911"/>
      <c r="AE59" s="885"/>
      <c r="AF59" s="901">
        <v>18520</v>
      </c>
      <c r="AG59" s="871">
        <f t="shared" si="29"/>
        <v>0.06775915498626157</v>
      </c>
      <c r="AH59" s="901">
        <v>34266</v>
      </c>
      <c r="AI59" s="871">
        <f t="shared" si="30"/>
        <v>0.06938389546856302</v>
      </c>
      <c r="AJ59" s="911"/>
      <c r="AK59" s="885"/>
      <c r="AL59" s="897"/>
      <c r="AM59" s="677"/>
    </row>
    <row r="60" spans="1:39" ht="11.25" customHeight="1">
      <c r="A60" s="438" t="s">
        <v>388</v>
      </c>
      <c r="B60" s="870" t="s">
        <v>81</v>
      </c>
      <c r="C60" s="898"/>
      <c r="D60" s="872"/>
      <c r="E60" s="898">
        <v>361593.7852899999</v>
      </c>
      <c r="F60" s="898">
        <v>1298.03845</v>
      </c>
      <c r="G60" s="898">
        <v>9559.13062</v>
      </c>
      <c r="H60" s="898">
        <v>372450.9543599999</v>
      </c>
      <c r="I60" s="871">
        <f t="shared" si="31"/>
        <v>0.2340746951931399</v>
      </c>
      <c r="J60" s="898">
        <v>27808.46729</v>
      </c>
      <c r="K60" s="872">
        <f t="shared" si="27"/>
        <v>0.3102665993478602</v>
      </c>
      <c r="L60" s="899">
        <v>81.89166666666668</v>
      </c>
      <c r="M60" s="899">
        <v>149.46249999999998</v>
      </c>
      <c r="N60" s="899">
        <f t="shared" si="28"/>
        <v>428.92291666666665</v>
      </c>
      <c r="O60" s="872">
        <f t="shared" si="32"/>
        <v>0.15131596596101837</v>
      </c>
      <c r="P60" s="908"/>
      <c r="Q60" s="908"/>
      <c r="R60" s="906"/>
      <c r="S60" s="906"/>
      <c r="T60" s="906"/>
      <c r="U60" s="906"/>
      <c r="V60" s="906"/>
      <c r="W60" s="906"/>
      <c r="X60" s="906"/>
      <c r="Y60" s="885"/>
      <c r="Z60" s="911"/>
      <c r="AA60" s="885"/>
      <c r="AB60" s="911"/>
      <c r="AC60" s="885"/>
      <c r="AD60" s="911"/>
      <c r="AE60" s="885"/>
      <c r="AF60" s="901">
        <v>10987</v>
      </c>
      <c r="AG60" s="871">
        <f t="shared" si="29"/>
        <v>0.04019815528261641</v>
      </c>
      <c r="AH60" s="901">
        <v>14507</v>
      </c>
      <c r="AI60" s="871">
        <f t="shared" si="30"/>
        <v>0.02937466210127951</v>
      </c>
      <c r="AJ60" s="911"/>
      <c r="AK60" s="885"/>
      <c r="AL60" s="897"/>
      <c r="AM60" s="439"/>
    </row>
    <row r="61" spans="1:39" ht="11.25" customHeight="1">
      <c r="A61" s="438" t="s">
        <v>389</v>
      </c>
      <c r="B61" s="870" t="s">
        <v>87</v>
      </c>
      <c r="C61" s="898"/>
      <c r="D61" s="872"/>
      <c r="E61" s="898">
        <v>15992.060000000001</v>
      </c>
      <c r="F61" s="898">
        <v>8987.73165</v>
      </c>
      <c r="G61" s="898">
        <v>402</v>
      </c>
      <c r="H61" s="898">
        <v>25381.79165</v>
      </c>
      <c r="I61" s="871">
        <f t="shared" si="31"/>
        <v>0.015951724849621176</v>
      </c>
      <c r="J61" s="898"/>
      <c r="K61" s="872">
        <f t="shared" si="27"/>
        <v>0</v>
      </c>
      <c r="L61" s="899">
        <v>23.2375</v>
      </c>
      <c r="M61" s="899">
        <v>51.0375</v>
      </c>
      <c r="N61" s="899">
        <f t="shared" si="28"/>
        <v>134.65</v>
      </c>
      <c r="O61" s="872">
        <f t="shared" si="32"/>
        <v>0.04750199633768957</v>
      </c>
      <c r="P61" s="908"/>
      <c r="Q61" s="908"/>
      <c r="R61" s="906"/>
      <c r="S61" s="906"/>
      <c r="T61" s="906"/>
      <c r="U61" s="906"/>
      <c r="V61" s="906"/>
      <c r="W61" s="906"/>
      <c r="X61" s="906"/>
      <c r="Y61" s="885"/>
      <c r="Z61" s="911"/>
      <c r="AA61" s="885"/>
      <c r="AB61" s="911"/>
      <c r="AC61" s="885"/>
      <c r="AD61" s="911"/>
      <c r="AE61" s="885"/>
      <c r="AF61" s="901">
        <v>15219</v>
      </c>
      <c r="AG61" s="871">
        <f t="shared" si="29"/>
        <v>0.055681780763278343</v>
      </c>
      <c r="AH61" s="901">
        <v>20108</v>
      </c>
      <c r="AI61" s="871">
        <f t="shared" si="30"/>
        <v>0.04071590994227121</v>
      </c>
      <c r="AJ61" s="911"/>
      <c r="AK61" s="885"/>
      <c r="AL61" s="897"/>
      <c r="AM61" s="439"/>
    </row>
    <row r="62" spans="1:39" ht="11.25" customHeight="1">
      <c r="A62" s="438" t="s">
        <v>390</v>
      </c>
      <c r="B62" s="870" t="s">
        <v>45</v>
      </c>
      <c r="C62" s="898"/>
      <c r="D62" s="872"/>
      <c r="E62" s="898">
        <v>77583.42043</v>
      </c>
      <c r="F62" s="898">
        <v>2681.9945399999997</v>
      </c>
      <c r="G62" s="898">
        <v>519.75</v>
      </c>
      <c r="H62" s="898">
        <v>80785.16497</v>
      </c>
      <c r="I62" s="871">
        <f t="shared" si="31"/>
        <v>0.05077114891267714</v>
      </c>
      <c r="J62" s="898">
        <v>20990.47243</v>
      </c>
      <c r="K62" s="872">
        <f t="shared" si="27"/>
        <v>0.23419638456316794</v>
      </c>
      <c r="L62" s="899">
        <v>18.429166666666664</v>
      </c>
      <c r="M62" s="899">
        <v>41.32291666666666</v>
      </c>
      <c r="N62" s="899">
        <f t="shared" si="28"/>
        <v>108.05729166666664</v>
      </c>
      <c r="O62" s="872">
        <f t="shared" si="32"/>
        <v>0.03812058724850094</v>
      </c>
      <c r="P62" s="908"/>
      <c r="Q62" s="908"/>
      <c r="R62" s="906"/>
      <c r="S62" s="906"/>
      <c r="T62" s="906"/>
      <c r="U62" s="906"/>
      <c r="V62" s="906"/>
      <c r="W62" s="906"/>
      <c r="X62" s="906"/>
      <c r="Y62" s="885"/>
      <c r="Z62" s="911"/>
      <c r="AA62" s="885"/>
      <c r="AB62" s="911"/>
      <c r="AC62" s="885"/>
      <c r="AD62" s="911"/>
      <c r="AE62" s="885"/>
      <c r="AF62" s="901">
        <v>60426</v>
      </c>
      <c r="AG62" s="871">
        <f t="shared" si="29"/>
        <v>0.22108070730020746</v>
      </c>
      <c r="AH62" s="901">
        <v>102769</v>
      </c>
      <c r="AI62" s="871">
        <f t="shared" si="30"/>
        <v>0.20809296542954395</v>
      </c>
      <c r="AJ62" s="911"/>
      <c r="AK62" s="885"/>
      <c r="AL62" s="897"/>
      <c r="AM62" s="439"/>
    </row>
    <row r="63" spans="1:39" ht="11.25" customHeight="1">
      <c r="A63" s="438" t="s">
        <v>391</v>
      </c>
      <c r="B63" s="870" t="s">
        <v>94</v>
      </c>
      <c r="C63" s="898"/>
      <c r="D63" s="872"/>
      <c r="E63" s="898">
        <v>4950</v>
      </c>
      <c r="F63" s="898">
        <v>6725.98974</v>
      </c>
      <c r="G63" s="898">
        <v>1901.1578</v>
      </c>
      <c r="H63" s="898">
        <v>13577.147540000002</v>
      </c>
      <c r="I63" s="871">
        <f t="shared" si="31"/>
        <v>0.008532846096417747</v>
      </c>
      <c r="J63" s="898"/>
      <c r="K63" s="872">
        <f t="shared" si="27"/>
        <v>0</v>
      </c>
      <c r="L63" s="899">
        <v>5.441666666666666</v>
      </c>
      <c r="M63" s="899">
        <v>20.241666666666667</v>
      </c>
      <c r="N63" s="899">
        <f t="shared" si="28"/>
        <v>43.96666666666667</v>
      </c>
      <c r="O63" s="872">
        <f>N63/$N$47</f>
        <v>0.015510615959750597</v>
      </c>
      <c r="P63" s="908"/>
      <c r="Q63" s="908"/>
      <c r="R63" s="906"/>
      <c r="S63" s="906"/>
      <c r="T63" s="906"/>
      <c r="U63" s="906"/>
      <c r="V63" s="906"/>
      <c r="W63" s="906"/>
      <c r="X63" s="906"/>
      <c r="Y63" s="885"/>
      <c r="Z63" s="911"/>
      <c r="AA63" s="885"/>
      <c r="AB63" s="911"/>
      <c r="AC63" s="885"/>
      <c r="AD63" s="911"/>
      <c r="AE63" s="885"/>
      <c r="AF63" s="901">
        <v>6372</v>
      </c>
      <c r="AG63" s="871">
        <f t="shared" si="29"/>
        <v>0.02331324706114788</v>
      </c>
      <c r="AH63" s="901">
        <v>13809</v>
      </c>
      <c r="AI63" s="871">
        <f t="shared" si="30"/>
        <v>0.027961308951304113</v>
      </c>
      <c r="AJ63" s="911"/>
      <c r="AK63" s="885"/>
      <c r="AL63" s="897"/>
      <c r="AM63" s="439"/>
    </row>
    <row r="64" spans="1:39" ht="11.25" customHeight="1">
      <c r="A64" s="438" t="s">
        <v>392</v>
      </c>
      <c r="B64" s="870" t="s">
        <v>58</v>
      </c>
      <c r="C64" s="898"/>
      <c r="D64" s="872"/>
      <c r="E64" s="898">
        <v>14756.994000000002</v>
      </c>
      <c r="F64" s="898">
        <v>1126.58952</v>
      </c>
      <c r="G64" s="898">
        <v>7.148</v>
      </c>
      <c r="H64" s="898">
        <v>15890.731520000001</v>
      </c>
      <c r="I64" s="871">
        <f t="shared" si="31"/>
        <v>0.009986866977778636</v>
      </c>
      <c r="J64" s="898"/>
      <c r="K64" s="872">
        <f t="shared" si="27"/>
        <v>0</v>
      </c>
      <c r="L64" s="899">
        <v>10.866666666666665</v>
      </c>
      <c r="M64" s="899">
        <v>31.383333333333326</v>
      </c>
      <c r="N64" s="899">
        <f t="shared" si="28"/>
        <v>74.24166666666665</v>
      </c>
      <c r="O64" s="872">
        <f t="shared" si="32"/>
        <v>0.026191068534006448</v>
      </c>
      <c r="P64" s="908"/>
      <c r="Q64" s="908"/>
      <c r="R64" s="906"/>
      <c r="S64" s="906"/>
      <c r="T64" s="906"/>
      <c r="U64" s="906"/>
      <c r="V64" s="906"/>
      <c r="W64" s="906"/>
      <c r="X64" s="906"/>
      <c r="Y64" s="885"/>
      <c r="Z64" s="911"/>
      <c r="AA64" s="885"/>
      <c r="AB64" s="911"/>
      <c r="AC64" s="885"/>
      <c r="AD64" s="911"/>
      <c r="AE64" s="885"/>
      <c r="AF64" s="901">
        <v>14187</v>
      </c>
      <c r="AG64" s="871">
        <f t="shared" si="29"/>
        <v>0.05190600063661409</v>
      </c>
      <c r="AH64" s="901">
        <v>32310</v>
      </c>
      <c r="AI64" s="871">
        <f t="shared" si="30"/>
        <v>0.0654232668706377</v>
      </c>
      <c r="AJ64" s="911"/>
      <c r="AK64" s="885"/>
      <c r="AL64" s="897"/>
      <c r="AM64" s="439"/>
    </row>
    <row r="65" spans="1:39" ht="11.25" customHeight="1">
      <c r="A65" s="438" t="s">
        <v>393</v>
      </c>
      <c r="B65" s="870" t="s">
        <v>373</v>
      </c>
      <c r="C65" s="898"/>
      <c r="D65" s="872"/>
      <c r="E65" s="898">
        <v>11796.999999999998</v>
      </c>
      <c r="F65" s="898"/>
      <c r="G65" s="898">
        <v>595.541</v>
      </c>
      <c r="H65" s="898">
        <v>12392.540999999997</v>
      </c>
      <c r="I65" s="871">
        <f t="shared" si="31"/>
        <v>0.007788355012347965</v>
      </c>
      <c r="J65" s="898"/>
      <c r="K65" s="872">
        <f t="shared" si="27"/>
        <v>0</v>
      </c>
      <c r="L65" s="899">
        <v>2.125</v>
      </c>
      <c r="M65" s="899">
        <v>3.7916666666666674</v>
      </c>
      <c r="N65" s="899">
        <f t="shared" si="28"/>
        <v>11</v>
      </c>
      <c r="O65" s="872">
        <f t="shared" si="32"/>
        <v>0.003880593833751097</v>
      </c>
      <c r="P65" s="908"/>
      <c r="Q65" s="908"/>
      <c r="R65" s="906"/>
      <c r="S65" s="906"/>
      <c r="T65" s="906"/>
      <c r="U65" s="906"/>
      <c r="V65" s="906"/>
      <c r="W65" s="906"/>
      <c r="X65" s="906"/>
      <c r="Y65" s="885"/>
      <c r="Z65" s="911"/>
      <c r="AA65" s="885"/>
      <c r="AB65" s="911"/>
      <c r="AC65" s="885"/>
      <c r="AD65" s="911"/>
      <c r="AE65" s="885"/>
      <c r="AF65" s="901">
        <v>823</v>
      </c>
      <c r="AG65" s="871">
        <f t="shared" si="29"/>
        <v>0.0030111114769812786</v>
      </c>
      <c r="AH65" s="901">
        <v>0</v>
      </c>
      <c r="AI65" s="871">
        <f t="shared" si="30"/>
        <v>0</v>
      </c>
      <c r="AJ65" s="911"/>
      <c r="AK65" s="885"/>
      <c r="AL65" s="897"/>
      <c r="AM65" s="439"/>
    </row>
    <row r="66" spans="1:39" ht="11.25" customHeight="1">
      <c r="A66" s="555"/>
      <c r="B66" s="557"/>
      <c r="C66" s="896"/>
      <c r="D66" s="895"/>
      <c r="E66" s="895"/>
      <c r="F66" s="895"/>
      <c r="G66" s="895"/>
      <c r="H66" s="896"/>
      <c r="I66" s="895"/>
      <c r="J66" s="896"/>
      <c r="K66" s="895"/>
      <c r="L66" s="895"/>
      <c r="M66" s="895"/>
      <c r="N66" s="895"/>
      <c r="O66" s="895"/>
      <c r="P66" s="895"/>
      <c r="Q66" s="895"/>
      <c r="R66" s="895"/>
      <c r="S66" s="895"/>
      <c r="T66" s="895"/>
      <c r="U66" s="895"/>
      <c r="V66" s="895"/>
      <c r="W66" s="895"/>
      <c r="X66" s="896"/>
      <c r="Y66" s="895"/>
      <c r="Z66" s="896"/>
      <c r="AA66" s="895"/>
      <c r="AB66" s="896"/>
      <c r="AC66" s="895"/>
      <c r="AD66" s="895"/>
      <c r="AE66" s="895"/>
      <c r="AF66" s="895"/>
      <c r="AG66" s="895"/>
      <c r="AH66" s="895"/>
      <c r="AI66" s="895"/>
      <c r="AJ66" s="896"/>
      <c r="AK66" s="895"/>
      <c r="AL66" s="897"/>
      <c r="AM66" s="439"/>
    </row>
    <row r="67" spans="1:39" ht="18">
      <c r="A67" s="836" t="s">
        <v>643</v>
      </c>
      <c r="B67" s="440" t="s">
        <v>634</v>
      </c>
      <c r="C67" s="906"/>
      <c r="D67" s="910"/>
      <c r="E67" s="898">
        <f>SUM(E68:E85)</f>
        <v>1407045.5073799998</v>
      </c>
      <c r="F67" s="898">
        <f>SUM(F68:F85)</f>
        <v>49618.41731999999</v>
      </c>
      <c r="G67" s="898">
        <f>SUM(G68:G85)</f>
        <v>31790.669069999996</v>
      </c>
      <c r="H67" s="898">
        <f>SUM(H68:H85)</f>
        <v>1488454.5937700002</v>
      </c>
      <c r="I67" s="871">
        <f>SUM(I68:I85)</f>
        <v>0.9999999999999999</v>
      </c>
      <c r="J67" s="906"/>
      <c r="K67" s="910"/>
      <c r="L67" s="899">
        <f>SUM(L68:L85)</f>
        <v>581.8099999999998</v>
      </c>
      <c r="M67" s="903">
        <f>SUM(M68:M85)</f>
        <v>904.4200000000001</v>
      </c>
      <c r="N67" s="899">
        <f>SUM(N68:N85)</f>
        <v>2811.155</v>
      </c>
      <c r="O67" s="872">
        <f>SUM(O68:O85)</f>
        <v>0.9999999999999999</v>
      </c>
      <c r="P67" s="910"/>
      <c r="Q67" s="910"/>
      <c r="R67" s="910"/>
      <c r="S67" s="910"/>
      <c r="T67" s="910"/>
      <c r="U67" s="910"/>
      <c r="V67" s="910"/>
      <c r="W67" s="910"/>
      <c r="X67" s="906"/>
      <c r="Y67" s="910"/>
      <c r="Z67" s="906"/>
      <c r="AA67" s="910"/>
      <c r="AB67" s="906"/>
      <c r="AC67" s="910"/>
      <c r="AD67" s="909"/>
      <c r="AE67" s="910"/>
      <c r="AF67" s="901">
        <f>SUM(AF68:AF85)</f>
        <v>264082</v>
      </c>
      <c r="AG67" s="871">
        <f>SUM(AG68:AG85)</f>
        <v>1</v>
      </c>
      <c r="AH67" s="901">
        <f>SUM(AH68:AH85)</f>
        <v>460094</v>
      </c>
      <c r="AI67" s="871">
        <f>SUM(AI68:AI85)</f>
        <v>1</v>
      </c>
      <c r="AJ67" s="906"/>
      <c r="AK67" s="910"/>
      <c r="AL67" s="912"/>
      <c r="AM67" s="426"/>
    </row>
    <row r="68" spans="1:39" ht="11.25" customHeight="1">
      <c r="A68" s="438" t="s">
        <v>376</v>
      </c>
      <c r="B68" s="874" t="s">
        <v>371</v>
      </c>
      <c r="C68" s="913"/>
      <c r="D68" s="885"/>
      <c r="E68" s="898">
        <v>6640</v>
      </c>
      <c r="F68" s="898">
        <v>641.7416</v>
      </c>
      <c r="G68" s="898"/>
      <c r="H68" s="898">
        <f aca="true" t="shared" si="33" ref="H68:H85">SUM(E68:G68)</f>
        <v>7281.7416</v>
      </c>
      <c r="I68" s="871">
        <f aca="true" t="shared" si="34" ref="I68:I85">H68/$H$67</f>
        <v>0.004892148964757197</v>
      </c>
      <c r="J68" s="913"/>
      <c r="K68" s="885"/>
      <c r="L68" s="902">
        <v>6.65</v>
      </c>
      <c r="M68" s="903">
        <v>11.5</v>
      </c>
      <c r="N68" s="899">
        <f aca="true" t="shared" si="35" ref="N68:N85">L68*2.5+M68*1.5</f>
        <v>33.875</v>
      </c>
      <c r="O68" s="872">
        <f aca="true" t="shared" si="36" ref="O68:O85">N68/$N$67</f>
        <v>0.012050207121272217</v>
      </c>
      <c r="P68" s="885"/>
      <c r="Q68" s="885"/>
      <c r="R68" s="885"/>
      <c r="S68" s="885"/>
      <c r="T68" s="885"/>
      <c r="U68" s="885"/>
      <c r="V68" s="885"/>
      <c r="W68" s="885"/>
      <c r="X68" s="906"/>
      <c r="Y68" s="885"/>
      <c r="Z68" s="911"/>
      <c r="AA68" s="885"/>
      <c r="AB68" s="911"/>
      <c r="AC68" s="885"/>
      <c r="AD68" s="911"/>
      <c r="AE68" s="885"/>
      <c r="AF68" s="901">
        <v>1269</v>
      </c>
      <c r="AG68" s="871">
        <f aca="true" t="shared" si="37" ref="AG68:AG85">AF68/AF$67</f>
        <v>0.0048053256185578725</v>
      </c>
      <c r="AH68" s="901">
        <v>1993</v>
      </c>
      <c r="AI68" s="871">
        <f aca="true" t="shared" si="38" ref="AI68:AI85">AH68/AH$67</f>
        <v>0.00433172351736819</v>
      </c>
      <c r="AJ68" s="911"/>
      <c r="AK68" s="885"/>
      <c r="AL68" s="897"/>
      <c r="AM68" s="439"/>
    </row>
    <row r="69" spans="1:39" ht="11.25" customHeight="1">
      <c r="A69" s="438" t="s">
        <v>377</v>
      </c>
      <c r="B69" s="874" t="s">
        <v>68</v>
      </c>
      <c r="C69" s="913"/>
      <c r="D69" s="885"/>
      <c r="E69" s="898">
        <v>24485.842</v>
      </c>
      <c r="F69" s="898">
        <v>180.43344</v>
      </c>
      <c r="G69" s="898"/>
      <c r="H69" s="898">
        <f t="shared" si="33"/>
        <v>24666.27544</v>
      </c>
      <c r="I69" s="871">
        <f t="shared" si="34"/>
        <v>0.01657173523683014</v>
      </c>
      <c r="J69" s="913"/>
      <c r="K69" s="885"/>
      <c r="L69" s="902">
        <v>6</v>
      </c>
      <c r="M69" s="903">
        <v>8.33</v>
      </c>
      <c r="N69" s="899">
        <f t="shared" si="35"/>
        <v>27.495</v>
      </c>
      <c r="O69" s="872">
        <f t="shared" si="36"/>
        <v>0.009780677337251058</v>
      </c>
      <c r="P69" s="885"/>
      <c r="Q69" s="885"/>
      <c r="R69" s="885"/>
      <c r="S69" s="885"/>
      <c r="T69" s="885"/>
      <c r="U69" s="885"/>
      <c r="V69" s="885"/>
      <c r="W69" s="885"/>
      <c r="X69" s="906"/>
      <c r="Y69" s="885"/>
      <c r="Z69" s="911"/>
      <c r="AA69" s="885"/>
      <c r="AB69" s="911"/>
      <c r="AC69" s="885"/>
      <c r="AD69" s="911"/>
      <c r="AE69" s="885"/>
      <c r="AF69" s="901">
        <v>2390</v>
      </c>
      <c r="AG69" s="871">
        <f t="shared" si="37"/>
        <v>0.009050219250081414</v>
      </c>
      <c r="AH69" s="901">
        <v>4053</v>
      </c>
      <c r="AI69" s="871">
        <f t="shared" si="38"/>
        <v>0.008809069451025225</v>
      </c>
      <c r="AJ69" s="911"/>
      <c r="AK69" s="885"/>
      <c r="AL69" s="897"/>
      <c r="AM69" s="439"/>
    </row>
    <row r="70" spans="1:39" ht="11.25" customHeight="1">
      <c r="A70" s="438" t="s">
        <v>378</v>
      </c>
      <c r="B70" s="874" t="s">
        <v>372</v>
      </c>
      <c r="C70" s="913"/>
      <c r="D70" s="885"/>
      <c r="E70" s="898">
        <v>3675</v>
      </c>
      <c r="F70" s="898">
        <v>352.53</v>
      </c>
      <c r="G70" s="898"/>
      <c r="H70" s="898">
        <f t="shared" si="33"/>
        <v>4027.5299999999997</v>
      </c>
      <c r="I70" s="871">
        <f t="shared" si="34"/>
        <v>0.002705846733153584</v>
      </c>
      <c r="J70" s="913"/>
      <c r="K70" s="885"/>
      <c r="L70" s="902">
        <v>7.1</v>
      </c>
      <c r="M70" s="903">
        <v>12.9</v>
      </c>
      <c r="N70" s="899">
        <f t="shared" si="35"/>
        <v>37.1</v>
      </c>
      <c r="O70" s="872">
        <f t="shared" si="36"/>
        <v>0.01319742241178448</v>
      </c>
      <c r="P70" s="885"/>
      <c r="Q70" s="885"/>
      <c r="R70" s="885"/>
      <c r="S70" s="885"/>
      <c r="T70" s="885"/>
      <c r="U70" s="885"/>
      <c r="V70" s="885"/>
      <c r="W70" s="885"/>
      <c r="X70" s="906"/>
      <c r="Y70" s="885"/>
      <c r="Z70" s="911"/>
      <c r="AA70" s="885"/>
      <c r="AB70" s="911"/>
      <c r="AC70" s="885"/>
      <c r="AD70" s="911"/>
      <c r="AE70" s="885"/>
      <c r="AF70" s="901">
        <v>2119</v>
      </c>
      <c r="AG70" s="871">
        <f t="shared" si="37"/>
        <v>0.008024022841390175</v>
      </c>
      <c r="AH70" s="901">
        <v>2472</v>
      </c>
      <c r="AI70" s="871">
        <f t="shared" si="38"/>
        <v>0.005372815120388443</v>
      </c>
      <c r="AJ70" s="911"/>
      <c r="AK70" s="885"/>
      <c r="AL70" s="897"/>
      <c r="AM70" s="439"/>
    </row>
    <row r="71" spans="1:39" ht="11.25" customHeight="1">
      <c r="A71" s="438" t="s">
        <v>379</v>
      </c>
      <c r="B71" s="874" t="s">
        <v>42</v>
      </c>
      <c r="C71" s="913"/>
      <c r="D71" s="885"/>
      <c r="E71" s="898">
        <v>13742.000000000004</v>
      </c>
      <c r="F71" s="898">
        <v>5693.58188</v>
      </c>
      <c r="G71" s="898"/>
      <c r="H71" s="898">
        <f t="shared" si="33"/>
        <v>19435.581880000005</v>
      </c>
      <c r="I71" s="871">
        <f t="shared" si="34"/>
        <v>0.013057557792725816</v>
      </c>
      <c r="J71" s="913"/>
      <c r="K71" s="885"/>
      <c r="L71" s="902">
        <v>22.23</v>
      </c>
      <c r="M71" s="903">
        <v>38.73</v>
      </c>
      <c r="N71" s="899">
        <f t="shared" si="35"/>
        <v>113.67</v>
      </c>
      <c r="O71" s="872">
        <f t="shared" si="36"/>
        <v>0.04043533707675315</v>
      </c>
      <c r="P71" s="885"/>
      <c r="Q71" s="885"/>
      <c r="R71" s="885"/>
      <c r="S71" s="885"/>
      <c r="T71" s="885"/>
      <c r="U71" s="885"/>
      <c r="V71" s="885"/>
      <c r="W71" s="885"/>
      <c r="X71" s="906"/>
      <c r="Y71" s="885"/>
      <c r="Z71" s="911"/>
      <c r="AA71" s="885"/>
      <c r="AB71" s="911"/>
      <c r="AC71" s="885"/>
      <c r="AD71" s="911"/>
      <c r="AE71" s="885"/>
      <c r="AF71" s="901">
        <v>38930</v>
      </c>
      <c r="AG71" s="871">
        <f t="shared" si="37"/>
        <v>0.14741633280571945</v>
      </c>
      <c r="AH71" s="901">
        <v>33521</v>
      </c>
      <c r="AI71" s="871">
        <f t="shared" si="38"/>
        <v>0.07285685099131917</v>
      </c>
      <c r="AJ71" s="911"/>
      <c r="AK71" s="885"/>
      <c r="AL71" s="897"/>
      <c r="AM71" s="439"/>
    </row>
    <row r="72" spans="1:39" ht="11.25" customHeight="1">
      <c r="A72" s="438" t="s">
        <v>380</v>
      </c>
      <c r="B72" s="874" t="s">
        <v>8</v>
      </c>
      <c r="C72" s="913"/>
      <c r="D72" s="885"/>
      <c r="E72" s="898">
        <v>182801.93497</v>
      </c>
      <c r="F72" s="898">
        <v>7116.08149</v>
      </c>
      <c r="G72" s="898">
        <v>5623.615269999999</v>
      </c>
      <c r="H72" s="898">
        <f t="shared" si="33"/>
        <v>195541.63173000002</v>
      </c>
      <c r="I72" s="871">
        <f t="shared" si="34"/>
        <v>0.13137225182981674</v>
      </c>
      <c r="J72" s="913"/>
      <c r="K72" s="885"/>
      <c r="L72" s="902">
        <v>112.7</v>
      </c>
      <c r="M72" s="903">
        <v>108.1</v>
      </c>
      <c r="N72" s="899">
        <f t="shared" si="35"/>
        <v>443.9</v>
      </c>
      <c r="O72" s="872">
        <f t="shared" si="36"/>
        <v>0.15790662556849408</v>
      </c>
      <c r="P72" s="885"/>
      <c r="Q72" s="885"/>
      <c r="R72" s="885"/>
      <c r="S72" s="885"/>
      <c r="T72" s="885"/>
      <c r="U72" s="885"/>
      <c r="V72" s="885"/>
      <c r="W72" s="885"/>
      <c r="X72" s="906"/>
      <c r="Y72" s="885"/>
      <c r="Z72" s="911"/>
      <c r="AA72" s="885"/>
      <c r="AB72" s="911"/>
      <c r="AC72" s="885"/>
      <c r="AD72" s="911"/>
      <c r="AE72" s="885"/>
      <c r="AF72" s="901">
        <v>17809</v>
      </c>
      <c r="AG72" s="871">
        <f t="shared" si="37"/>
        <v>0.06743738687225938</v>
      </c>
      <c r="AH72" s="901">
        <v>17945</v>
      </c>
      <c r="AI72" s="871">
        <f t="shared" si="38"/>
        <v>0.03900289940751238</v>
      </c>
      <c r="AJ72" s="911"/>
      <c r="AK72" s="885"/>
      <c r="AL72" s="897"/>
      <c r="AM72" s="439"/>
    </row>
    <row r="73" spans="1:39" ht="11.25" customHeight="1">
      <c r="A73" s="438" t="s">
        <v>381</v>
      </c>
      <c r="B73" s="874" t="s">
        <v>22</v>
      </c>
      <c r="C73" s="913"/>
      <c r="D73" s="885"/>
      <c r="E73" s="898">
        <v>98028</v>
      </c>
      <c r="F73" s="898">
        <v>2938.47329</v>
      </c>
      <c r="G73" s="898">
        <v>2482.47601</v>
      </c>
      <c r="H73" s="898">
        <f t="shared" si="33"/>
        <v>103448.9493</v>
      </c>
      <c r="I73" s="871">
        <f t="shared" si="34"/>
        <v>0.06950091036232522</v>
      </c>
      <c r="J73" s="913"/>
      <c r="K73" s="885"/>
      <c r="L73" s="902">
        <v>44.9</v>
      </c>
      <c r="M73" s="903">
        <v>38.15</v>
      </c>
      <c r="N73" s="899">
        <f t="shared" si="35"/>
        <v>169.475</v>
      </c>
      <c r="O73" s="872">
        <f t="shared" si="36"/>
        <v>0.06028660817350875</v>
      </c>
      <c r="P73" s="885"/>
      <c r="Q73" s="885"/>
      <c r="R73" s="885"/>
      <c r="S73" s="885"/>
      <c r="T73" s="885"/>
      <c r="U73" s="885"/>
      <c r="V73" s="885"/>
      <c r="W73" s="885"/>
      <c r="X73" s="906"/>
      <c r="Y73" s="885"/>
      <c r="Z73" s="911"/>
      <c r="AA73" s="885"/>
      <c r="AB73" s="911"/>
      <c r="AC73" s="885"/>
      <c r="AD73" s="911"/>
      <c r="AE73" s="885"/>
      <c r="AF73" s="901">
        <v>7291</v>
      </c>
      <c r="AG73" s="871">
        <f t="shared" si="37"/>
        <v>0.027608848766670958</v>
      </c>
      <c r="AH73" s="901">
        <v>6894</v>
      </c>
      <c r="AI73" s="871">
        <f t="shared" si="38"/>
        <v>0.014983894595452234</v>
      </c>
      <c r="AJ73" s="911"/>
      <c r="AK73" s="885"/>
      <c r="AL73" s="897"/>
      <c r="AM73" s="439"/>
    </row>
    <row r="74" spans="1:39" ht="11.25" customHeight="1">
      <c r="A74" s="438" t="s">
        <v>382</v>
      </c>
      <c r="B74" s="874" t="s">
        <v>21</v>
      </c>
      <c r="C74" s="913"/>
      <c r="D74" s="885"/>
      <c r="E74" s="898">
        <v>54693</v>
      </c>
      <c r="F74" s="898">
        <v>553.83036</v>
      </c>
      <c r="G74" s="898"/>
      <c r="H74" s="898">
        <f t="shared" si="33"/>
        <v>55246.83036</v>
      </c>
      <c r="I74" s="871">
        <f t="shared" si="34"/>
        <v>0.03711690675096058</v>
      </c>
      <c r="J74" s="913"/>
      <c r="K74" s="885"/>
      <c r="L74" s="902">
        <v>39.3</v>
      </c>
      <c r="M74" s="903">
        <v>56.25</v>
      </c>
      <c r="N74" s="899">
        <f t="shared" si="35"/>
        <v>182.625</v>
      </c>
      <c r="O74" s="872">
        <f t="shared" si="36"/>
        <v>0.06496440075342697</v>
      </c>
      <c r="P74" s="885"/>
      <c r="Q74" s="885"/>
      <c r="R74" s="885"/>
      <c r="S74" s="885"/>
      <c r="T74" s="885"/>
      <c r="U74" s="885"/>
      <c r="V74" s="885"/>
      <c r="W74" s="885"/>
      <c r="X74" s="906"/>
      <c r="Y74" s="885"/>
      <c r="Z74" s="911"/>
      <c r="AA74" s="885"/>
      <c r="AB74" s="911"/>
      <c r="AC74" s="885"/>
      <c r="AD74" s="911"/>
      <c r="AE74" s="885"/>
      <c r="AF74" s="901">
        <v>8634</v>
      </c>
      <c r="AG74" s="871">
        <f t="shared" si="37"/>
        <v>0.032694390378746</v>
      </c>
      <c r="AH74" s="901">
        <v>8828</v>
      </c>
      <c r="AI74" s="871">
        <f t="shared" si="38"/>
        <v>0.019187383447730248</v>
      </c>
      <c r="AJ74" s="911"/>
      <c r="AK74" s="885"/>
      <c r="AL74" s="897"/>
      <c r="AM74" s="439"/>
    </row>
    <row r="75" spans="1:39" ht="11.25" customHeight="1">
      <c r="A75" s="438" t="s">
        <v>383</v>
      </c>
      <c r="B75" s="874" t="s">
        <v>23</v>
      </c>
      <c r="C75" s="913"/>
      <c r="D75" s="885"/>
      <c r="E75" s="898">
        <v>25352.999999999993</v>
      </c>
      <c r="F75" s="898">
        <v>3423.334</v>
      </c>
      <c r="G75" s="898">
        <v>4202.50444</v>
      </c>
      <c r="H75" s="898">
        <f t="shared" si="33"/>
        <v>32978.83843999999</v>
      </c>
      <c r="I75" s="871">
        <f t="shared" si="34"/>
        <v>0.022156428941826335</v>
      </c>
      <c r="J75" s="913"/>
      <c r="K75" s="885"/>
      <c r="L75" s="902">
        <v>23.73</v>
      </c>
      <c r="M75" s="903">
        <v>49.23</v>
      </c>
      <c r="N75" s="899">
        <f t="shared" si="35"/>
        <v>133.17000000000002</v>
      </c>
      <c r="O75" s="872">
        <f t="shared" si="36"/>
        <v>0.04737198767054823</v>
      </c>
      <c r="P75" s="885"/>
      <c r="Q75" s="885"/>
      <c r="R75" s="885"/>
      <c r="S75" s="885"/>
      <c r="T75" s="885"/>
      <c r="U75" s="885"/>
      <c r="V75" s="885"/>
      <c r="W75" s="885"/>
      <c r="X75" s="906"/>
      <c r="Y75" s="885"/>
      <c r="Z75" s="911"/>
      <c r="AA75" s="885"/>
      <c r="AB75" s="911"/>
      <c r="AC75" s="885"/>
      <c r="AD75" s="911"/>
      <c r="AE75" s="885"/>
      <c r="AF75" s="901">
        <v>6024</v>
      </c>
      <c r="AG75" s="871">
        <f t="shared" si="37"/>
        <v>0.02281109655334328</v>
      </c>
      <c r="AH75" s="901">
        <v>4709</v>
      </c>
      <c r="AI75" s="871">
        <f t="shared" si="38"/>
        <v>0.010234865049316009</v>
      </c>
      <c r="AJ75" s="911"/>
      <c r="AK75" s="885"/>
      <c r="AL75" s="897"/>
      <c r="AM75" s="439"/>
    </row>
    <row r="76" spans="1:39" ht="11.25" customHeight="1">
      <c r="A76" s="438" t="s">
        <v>384</v>
      </c>
      <c r="B76" s="874" t="s">
        <v>24</v>
      </c>
      <c r="C76" s="913"/>
      <c r="D76" s="885"/>
      <c r="E76" s="898">
        <v>17173.571320000003</v>
      </c>
      <c r="F76" s="898">
        <v>486.5</v>
      </c>
      <c r="G76" s="898">
        <v>72.8228</v>
      </c>
      <c r="H76" s="898">
        <f t="shared" si="33"/>
        <v>17732.894120000004</v>
      </c>
      <c r="I76" s="871">
        <f t="shared" si="34"/>
        <v>0.011913627862228316</v>
      </c>
      <c r="J76" s="913"/>
      <c r="K76" s="885"/>
      <c r="L76" s="902">
        <v>32.53</v>
      </c>
      <c r="M76" s="903">
        <v>41.3</v>
      </c>
      <c r="N76" s="899">
        <f t="shared" si="35"/>
        <v>143.275</v>
      </c>
      <c r="O76" s="872">
        <f t="shared" si="36"/>
        <v>0.05096659558081998</v>
      </c>
      <c r="P76" s="885"/>
      <c r="Q76" s="885"/>
      <c r="R76" s="885"/>
      <c r="S76" s="885"/>
      <c r="T76" s="885"/>
      <c r="U76" s="885"/>
      <c r="V76" s="885"/>
      <c r="W76" s="885"/>
      <c r="X76" s="906"/>
      <c r="Y76" s="885"/>
      <c r="Z76" s="911"/>
      <c r="AA76" s="885"/>
      <c r="AB76" s="911"/>
      <c r="AC76" s="885"/>
      <c r="AD76" s="911"/>
      <c r="AE76" s="885"/>
      <c r="AF76" s="901">
        <v>6017</v>
      </c>
      <c r="AG76" s="871">
        <f t="shared" si="37"/>
        <v>0.022784589635037603</v>
      </c>
      <c r="AH76" s="901">
        <v>4463</v>
      </c>
      <c r="AI76" s="871">
        <f>AH76/AH$67</f>
        <v>0.009700191699956966</v>
      </c>
      <c r="AJ76" s="911"/>
      <c r="AK76" s="885"/>
      <c r="AL76" s="897"/>
      <c r="AM76" s="439"/>
    </row>
    <row r="77" spans="1:39" ht="11.25" customHeight="1">
      <c r="A77" s="438" t="s">
        <v>385</v>
      </c>
      <c r="B77" s="874" t="s">
        <v>31</v>
      </c>
      <c r="C77" s="913"/>
      <c r="D77" s="885"/>
      <c r="E77" s="898">
        <v>59943.77370999999</v>
      </c>
      <c r="F77" s="898">
        <v>721.49141</v>
      </c>
      <c r="G77" s="898">
        <v>766.39843</v>
      </c>
      <c r="H77" s="898">
        <f t="shared" si="33"/>
        <v>61431.66354999999</v>
      </c>
      <c r="I77" s="871">
        <f t="shared" si="34"/>
        <v>0.04127211122672148</v>
      </c>
      <c r="J77" s="913"/>
      <c r="K77" s="885"/>
      <c r="L77" s="902">
        <v>20.43</v>
      </c>
      <c r="M77" s="903">
        <v>23.85</v>
      </c>
      <c r="N77" s="899">
        <f t="shared" si="35"/>
        <v>86.85000000000001</v>
      </c>
      <c r="O77" s="872">
        <f t="shared" si="36"/>
        <v>0.030894774567748844</v>
      </c>
      <c r="P77" s="885"/>
      <c r="Q77" s="885"/>
      <c r="R77" s="885"/>
      <c r="S77" s="885"/>
      <c r="T77" s="885"/>
      <c r="U77" s="885"/>
      <c r="V77" s="885"/>
      <c r="W77" s="885"/>
      <c r="X77" s="906"/>
      <c r="Y77" s="885"/>
      <c r="Z77" s="911"/>
      <c r="AA77" s="885"/>
      <c r="AB77" s="911"/>
      <c r="AC77" s="885"/>
      <c r="AD77" s="911"/>
      <c r="AE77" s="885"/>
      <c r="AF77" s="901">
        <v>3290</v>
      </c>
      <c r="AG77" s="871">
        <f t="shared" si="37"/>
        <v>0.012458251603668558</v>
      </c>
      <c r="AH77" s="901">
        <v>4332</v>
      </c>
      <c r="AI77" s="871">
        <f t="shared" si="38"/>
        <v>0.009415467274078776</v>
      </c>
      <c r="AJ77" s="911"/>
      <c r="AK77" s="885"/>
      <c r="AL77" s="897"/>
      <c r="AM77" s="439"/>
    </row>
    <row r="78" spans="1:39" ht="11.25" customHeight="1">
      <c r="A78" s="438" t="s">
        <v>386</v>
      </c>
      <c r="B78" s="874" t="s">
        <v>37</v>
      </c>
      <c r="C78" s="913"/>
      <c r="D78" s="885"/>
      <c r="E78" s="898">
        <v>97291.99999999999</v>
      </c>
      <c r="F78" s="898">
        <v>3617.20474</v>
      </c>
      <c r="G78" s="898">
        <v>189.24462</v>
      </c>
      <c r="H78" s="898">
        <f t="shared" si="33"/>
        <v>101098.44935999998</v>
      </c>
      <c r="I78" s="871">
        <f t="shared" si="34"/>
        <v>0.0679217557479768</v>
      </c>
      <c r="J78" s="913"/>
      <c r="K78" s="885"/>
      <c r="L78" s="902">
        <v>61.4</v>
      </c>
      <c r="M78" s="903">
        <v>106.7</v>
      </c>
      <c r="N78" s="899">
        <f t="shared" si="35"/>
        <v>313.55</v>
      </c>
      <c r="O78" s="872">
        <f t="shared" si="36"/>
        <v>0.11153778429151007</v>
      </c>
      <c r="P78" s="885"/>
      <c r="Q78" s="885"/>
      <c r="R78" s="885"/>
      <c r="S78" s="885"/>
      <c r="T78" s="885"/>
      <c r="U78" s="885"/>
      <c r="V78" s="885"/>
      <c r="W78" s="885"/>
      <c r="X78" s="906"/>
      <c r="Y78" s="885"/>
      <c r="Z78" s="911"/>
      <c r="AA78" s="885"/>
      <c r="AB78" s="911"/>
      <c r="AC78" s="885"/>
      <c r="AD78" s="911"/>
      <c r="AE78" s="885"/>
      <c r="AF78" s="901">
        <v>48110</v>
      </c>
      <c r="AG78" s="871">
        <f t="shared" si="37"/>
        <v>0.1821782628123083</v>
      </c>
      <c r="AH78" s="901">
        <v>172614</v>
      </c>
      <c r="AI78" s="871">
        <f t="shared" si="38"/>
        <v>0.37517116067586187</v>
      </c>
      <c r="AJ78" s="911"/>
      <c r="AK78" s="885"/>
      <c r="AL78" s="897"/>
      <c r="AM78" s="439"/>
    </row>
    <row r="79" spans="1:39" ht="11.25" customHeight="1">
      <c r="A79" s="438" t="s">
        <v>387</v>
      </c>
      <c r="B79" s="874" t="s">
        <v>72</v>
      </c>
      <c r="C79" s="913"/>
      <c r="D79" s="885"/>
      <c r="E79" s="898">
        <v>349644.59669</v>
      </c>
      <c r="F79" s="898">
        <v>1489</v>
      </c>
      <c r="G79" s="898">
        <v>4753.1595</v>
      </c>
      <c r="H79" s="898">
        <f t="shared" si="33"/>
        <v>355886.75619</v>
      </c>
      <c r="I79" s="871">
        <f t="shared" si="34"/>
        <v>0.23909816105884688</v>
      </c>
      <c r="J79" s="913"/>
      <c r="K79" s="885"/>
      <c r="L79" s="902">
        <v>61.08</v>
      </c>
      <c r="M79" s="903">
        <v>113.93</v>
      </c>
      <c r="N79" s="899">
        <f t="shared" si="35"/>
        <v>323.595</v>
      </c>
      <c r="O79" s="872">
        <f t="shared" si="36"/>
        <v>0.11511104866149323</v>
      </c>
      <c r="P79" s="885"/>
      <c r="Q79" s="885"/>
      <c r="R79" s="885"/>
      <c r="S79" s="885"/>
      <c r="T79" s="885"/>
      <c r="U79" s="885"/>
      <c r="V79" s="885"/>
      <c r="W79" s="885"/>
      <c r="X79" s="906"/>
      <c r="Y79" s="885"/>
      <c r="Z79" s="911"/>
      <c r="AA79" s="885"/>
      <c r="AB79" s="911"/>
      <c r="AC79" s="885"/>
      <c r="AD79" s="911"/>
      <c r="AE79" s="885"/>
      <c r="AF79" s="901">
        <v>17559</v>
      </c>
      <c r="AG79" s="871">
        <f>AF79/AF$67</f>
        <v>0.06649071121848517</v>
      </c>
      <c r="AH79" s="901">
        <v>32881</v>
      </c>
      <c r="AI79" s="871">
        <f t="shared" si="38"/>
        <v>0.07146583089542571</v>
      </c>
      <c r="AJ79" s="911"/>
      <c r="AK79" s="885"/>
      <c r="AL79" s="897"/>
      <c r="AM79" s="677"/>
    </row>
    <row r="80" spans="1:39" ht="11.25" customHeight="1">
      <c r="A80" s="438" t="s">
        <v>388</v>
      </c>
      <c r="B80" s="874" t="s">
        <v>81</v>
      </c>
      <c r="C80" s="913"/>
      <c r="D80" s="885"/>
      <c r="E80" s="898">
        <v>378740.06469</v>
      </c>
      <c r="F80" s="898">
        <v>1080</v>
      </c>
      <c r="G80" s="898">
        <v>10875.23773</v>
      </c>
      <c r="H80" s="898">
        <f t="shared" si="33"/>
        <v>390695.30242</v>
      </c>
      <c r="I80" s="871">
        <f t="shared" si="34"/>
        <v>0.2624838567835891</v>
      </c>
      <c r="J80" s="913"/>
      <c r="K80" s="885"/>
      <c r="L80" s="902">
        <v>81.38</v>
      </c>
      <c r="M80" s="903">
        <v>149.25</v>
      </c>
      <c r="N80" s="899">
        <f t="shared" si="35"/>
        <v>427.325</v>
      </c>
      <c r="O80" s="872">
        <f t="shared" si="36"/>
        <v>0.15201047256376826</v>
      </c>
      <c r="P80" s="885"/>
      <c r="Q80" s="885"/>
      <c r="R80" s="885"/>
      <c r="S80" s="885"/>
      <c r="T80" s="885"/>
      <c r="U80" s="885"/>
      <c r="V80" s="885"/>
      <c r="W80" s="885"/>
      <c r="X80" s="906"/>
      <c r="Y80" s="885"/>
      <c r="Z80" s="911"/>
      <c r="AA80" s="885"/>
      <c r="AB80" s="911"/>
      <c r="AC80" s="885"/>
      <c r="AD80" s="911"/>
      <c r="AE80" s="885"/>
      <c r="AF80" s="901">
        <v>12322</v>
      </c>
      <c r="AG80" s="871">
        <f t="shared" si="37"/>
        <v>0.04665974962322309</v>
      </c>
      <c r="AH80" s="901">
        <v>11147</v>
      </c>
      <c r="AI80" s="871">
        <f t="shared" si="38"/>
        <v>0.024227657826444163</v>
      </c>
      <c r="AJ80" s="911"/>
      <c r="AK80" s="885"/>
      <c r="AL80" s="897"/>
      <c r="AM80" s="439"/>
    </row>
    <row r="81" spans="1:39" ht="11.25" customHeight="1">
      <c r="A81" s="438" t="s">
        <v>389</v>
      </c>
      <c r="B81" s="874" t="s">
        <v>87</v>
      </c>
      <c r="C81" s="913"/>
      <c r="D81" s="885"/>
      <c r="E81" s="898">
        <v>13061</v>
      </c>
      <c r="F81" s="898">
        <v>11138.01102</v>
      </c>
      <c r="G81" s="898"/>
      <c r="H81" s="898">
        <f t="shared" si="33"/>
        <v>24199.011019999998</v>
      </c>
      <c r="I81" s="871">
        <f t="shared" si="34"/>
        <v>0.016257809355613634</v>
      </c>
      <c r="J81" s="913"/>
      <c r="K81" s="885"/>
      <c r="L81" s="902">
        <v>22.25</v>
      </c>
      <c r="M81" s="903">
        <v>50.95</v>
      </c>
      <c r="N81" s="899">
        <f t="shared" si="35"/>
        <v>132.05</v>
      </c>
      <c r="O81" s="872">
        <f t="shared" si="36"/>
        <v>0.046973574918494354</v>
      </c>
      <c r="P81" s="885"/>
      <c r="Q81" s="885"/>
      <c r="R81" s="885"/>
      <c r="S81" s="885"/>
      <c r="T81" s="885"/>
      <c r="U81" s="885"/>
      <c r="V81" s="885"/>
      <c r="W81" s="885"/>
      <c r="X81" s="906"/>
      <c r="Y81" s="885"/>
      <c r="Z81" s="911"/>
      <c r="AA81" s="885"/>
      <c r="AB81" s="911"/>
      <c r="AC81" s="885"/>
      <c r="AD81" s="911"/>
      <c r="AE81" s="885"/>
      <c r="AF81" s="901">
        <v>9965</v>
      </c>
      <c r="AG81" s="871">
        <f t="shared" si="37"/>
        <v>0.03773449155943987</v>
      </c>
      <c r="AH81" s="901">
        <v>17291</v>
      </c>
      <c r="AI81" s="871">
        <f t="shared" si="38"/>
        <v>0.03758145074702126</v>
      </c>
      <c r="AJ81" s="911"/>
      <c r="AK81" s="885"/>
      <c r="AL81" s="897"/>
      <c r="AM81" s="439"/>
    </row>
    <row r="82" spans="1:39" ht="11.25" customHeight="1">
      <c r="A82" s="438" t="s">
        <v>390</v>
      </c>
      <c r="B82" s="874" t="s">
        <v>45</v>
      </c>
      <c r="C82" s="913"/>
      <c r="D82" s="885"/>
      <c r="E82" s="898">
        <v>48503.723999999995</v>
      </c>
      <c r="F82" s="898">
        <v>1481.0821199999996</v>
      </c>
      <c r="G82" s="898"/>
      <c r="H82" s="898">
        <f t="shared" si="33"/>
        <v>49984.806119999994</v>
      </c>
      <c r="I82" s="871">
        <f t="shared" si="34"/>
        <v>0.03358168017298872</v>
      </c>
      <c r="J82" s="913"/>
      <c r="K82" s="885"/>
      <c r="L82" s="902">
        <v>20.8</v>
      </c>
      <c r="M82" s="903">
        <v>40.5</v>
      </c>
      <c r="N82" s="899">
        <f t="shared" si="35"/>
        <v>112.75</v>
      </c>
      <c r="O82" s="872">
        <f t="shared" si="36"/>
        <v>0.04010806945899461</v>
      </c>
      <c r="P82" s="885"/>
      <c r="Q82" s="885"/>
      <c r="R82" s="885"/>
      <c r="S82" s="885"/>
      <c r="T82" s="885"/>
      <c r="U82" s="885"/>
      <c r="V82" s="885"/>
      <c r="W82" s="885"/>
      <c r="X82" s="906"/>
      <c r="Y82" s="885"/>
      <c r="Z82" s="911"/>
      <c r="AA82" s="885"/>
      <c r="AB82" s="911"/>
      <c r="AC82" s="885"/>
      <c r="AD82" s="911"/>
      <c r="AE82" s="885"/>
      <c r="AF82" s="901">
        <v>58948</v>
      </c>
      <c r="AG82" s="871">
        <f t="shared" si="37"/>
        <v>0.2232185457547277</v>
      </c>
      <c r="AH82" s="901">
        <v>94599</v>
      </c>
      <c r="AI82" s="871">
        <f t="shared" si="38"/>
        <v>0.20560798445535042</v>
      </c>
      <c r="AJ82" s="911"/>
      <c r="AK82" s="885"/>
      <c r="AL82" s="897"/>
      <c r="AM82" s="439"/>
    </row>
    <row r="83" spans="1:39" ht="11.25" customHeight="1">
      <c r="A83" s="438" t="s">
        <v>391</v>
      </c>
      <c r="B83" s="874" t="s">
        <v>94</v>
      </c>
      <c r="C83" s="913"/>
      <c r="D83" s="885"/>
      <c r="E83" s="898">
        <v>4874.999999999998</v>
      </c>
      <c r="F83" s="898">
        <v>7904.18422</v>
      </c>
      <c r="G83" s="898">
        <v>2292.10555</v>
      </c>
      <c r="H83" s="898">
        <f t="shared" si="33"/>
        <v>15071.28977</v>
      </c>
      <c r="I83" s="871">
        <f t="shared" si="34"/>
        <v>0.010125461557968663</v>
      </c>
      <c r="J83" s="913"/>
      <c r="K83" s="885"/>
      <c r="L83" s="902">
        <v>4.8</v>
      </c>
      <c r="M83" s="903">
        <v>20</v>
      </c>
      <c r="N83" s="899">
        <f t="shared" si="35"/>
        <v>42</v>
      </c>
      <c r="O83" s="872">
        <f t="shared" si="36"/>
        <v>0.014940478202020165</v>
      </c>
      <c r="P83" s="885"/>
      <c r="Q83" s="885"/>
      <c r="R83" s="885"/>
      <c r="S83" s="885"/>
      <c r="T83" s="885"/>
      <c r="U83" s="885"/>
      <c r="V83" s="885"/>
      <c r="W83" s="885"/>
      <c r="X83" s="906"/>
      <c r="Y83" s="885"/>
      <c r="Z83" s="911"/>
      <c r="AA83" s="885"/>
      <c r="AB83" s="911"/>
      <c r="AC83" s="885"/>
      <c r="AD83" s="911"/>
      <c r="AE83" s="885"/>
      <c r="AF83" s="901">
        <v>4585</v>
      </c>
      <c r="AG83" s="871">
        <f t="shared" si="37"/>
        <v>0.01736203149021895</v>
      </c>
      <c r="AH83" s="901">
        <v>10469</v>
      </c>
      <c r="AI83" s="871">
        <f t="shared" si="38"/>
        <v>0.02275404591235704</v>
      </c>
      <c r="AJ83" s="911"/>
      <c r="AK83" s="885"/>
      <c r="AL83" s="897"/>
      <c r="AM83" s="439"/>
    </row>
    <row r="84" spans="1:39" ht="11.25" customHeight="1">
      <c r="A84" s="438" t="s">
        <v>392</v>
      </c>
      <c r="B84" s="874" t="s">
        <v>58</v>
      </c>
      <c r="C84" s="913"/>
      <c r="D84" s="885"/>
      <c r="E84" s="898">
        <v>18616</v>
      </c>
      <c r="F84" s="898">
        <v>800.93775</v>
      </c>
      <c r="G84" s="898">
        <v>55.6</v>
      </c>
      <c r="H84" s="898">
        <f t="shared" si="33"/>
        <v>19472.53775</v>
      </c>
      <c r="I84" s="871">
        <f t="shared" si="34"/>
        <v>0.013082386141641984</v>
      </c>
      <c r="J84" s="913"/>
      <c r="K84" s="885"/>
      <c r="L84" s="902">
        <v>12.4</v>
      </c>
      <c r="M84" s="903">
        <v>30.85</v>
      </c>
      <c r="N84" s="899">
        <f t="shared" si="35"/>
        <v>77.275</v>
      </c>
      <c r="O84" s="872">
        <f t="shared" si="36"/>
        <v>0.027488701263359724</v>
      </c>
      <c r="P84" s="885"/>
      <c r="Q84" s="885"/>
      <c r="R84" s="885"/>
      <c r="S84" s="885"/>
      <c r="T84" s="885"/>
      <c r="U84" s="885"/>
      <c r="V84" s="885"/>
      <c r="W84" s="885"/>
      <c r="X84" s="906"/>
      <c r="Y84" s="885"/>
      <c r="Z84" s="911"/>
      <c r="AA84" s="885"/>
      <c r="AB84" s="911"/>
      <c r="AC84" s="885"/>
      <c r="AD84" s="911"/>
      <c r="AE84" s="885"/>
      <c r="AF84" s="901">
        <v>17461</v>
      </c>
      <c r="AG84" s="871">
        <f t="shared" si="37"/>
        <v>0.06611961436220568</v>
      </c>
      <c r="AH84" s="901">
        <v>31883</v>
      </c>
      <c r="AI84" s="871">
        <f t="shared" si="38"/>
        <v>0.06929670893339188</v>
      </c>
      <c r="AJ84" s="911"/>
      <c r="AK84" s="885"/>
      <c r="AL84" s="897"/>
      <c r="AM84" s="439"/>
    </row>
    <row r="85" spans="1:39" ht="11.25" customHeight="1">
      <c r="A85" s="438" t="s">
        <v>393</v>
      </c>
      <c r="B85" s="874" t="s">
        <v>373</v>
      </c>
      <c r="C85" s="913"/>
      <c r="D85" s="885"/>
      <c r="E85" s="898">
        <v>9777.000000000002</v>
      </c>
      <c r="F85" s="898"/>
      <c r="G85" s="898">
        <v>477.50472</v>
      </c>
      <c r="H85" s="898">
        <f t="shared" si="33"/>
        <v>10254.504720000003</v>
      </c>
      <c r="I85" s="871">
        <f t="shared" si="34"/>
        <v>0.006889363480028706</v>
      </c>
      <c r="J85" s="913"/>
      <c r="K85" s="885"/>
      <c r="L85" s="902">
        <v>2.13</v>
      </c>
      <c r="M85" s="903">
        <v>3.9</v>
      </c>
      <c r="N85" s="899">
        <f t="shared" si="35"/>
        <v>11.174999999999999</v>
      </c>
      <c r="O85" s="872">
        <f t="shared" si="36"/>
        <v>0.003975234378751793</v>
      </c>
      <c r="P85" s="885"/>
      <c r="Q85" s="885"/>
      <c r="R85" s="885"/>
      <c r="S85" s="885"/>
      <c r="T85" s="885"/>
      <c r="U85" s="885"/>
      <c r="V85" s="885"/>
      <c r="W85" s="885"/>
      <c r="X85" s="906"/>
      <c r="Y85" s="885"/>
      <c r="Z85" s="911"/>
      <c r="AA85" s="885"/>
      <c r="AB85" s="911"/>
      <c r="AC85" s="885"/>
      <c r="AD85" s="911"/>
      <c r="AE85" s="885"/>
      <c r="AF85" s="901">
        <v>1359</v>
      </c>
      <c r="AG85" s="871">
        <f t="shared" si="37"/>
        <v>0.0051461288539165866</v>
      </c>
      <c r="AH85" s="901">
        <v>0</v>
      </c>
      <c r="AI85" s="871">
        <f t="shared" si="38"/>
        <v>0</v>
      </c>
      <c r="AJ85" s="911"/>
      <c r="AK85" s="885"/>
      <c r="AL85" s="897"/>
      <c r="AM85" s="439"/>
    </row>
    <row r="86" spans="1:39" ht="8.25" customHeight="1">
      <c r="A86" s="555"/>
      <c r="B86" s="556"/>
      <c r="C86" s="896"/>
      <c r="D86" s="895"/>
      <c r="E86" s="895"/>
      <c r="F86" s="895"/>
      <c r="G86" s="895"/>
      <c r="H86" s="896"/>
      <c r="I86" s="895"/>
      <c r="J86" s="896"/>
      <c r="K86" s="895"/>
      <c r="L86" s="914"/>
      <c r="M86" s="914"/>
      <c r="N86" s="914"/>
      <c r="O86" s="895"/>
      <c r="P86" s="895"/>
      <c r="Q86" s="895"/>
      <c r="R86" s="895"/>
      <c r="S86" s="895"/>
      <c r="T86" s="895"/>
      <c r="U86" s="895"/>
      <c r="V86" s="895"/>
      <c r="W86" s="895"/>
      <c r="X86" s="896"/>
      <c r="Y86" s="895"/>
      <c r="Z86" s="896"/>
      <c r="AA86" s="895"/>
      <c r="AB86" s="896"/>
      <c r="AC86" s="895"/>
      <c r="AD86" s="895"/>
      <c r="AE86" s="895"/>
      <c r="AF86" s="895"/>
      <c r="AG86" s="895"/>
      <c r="AH86" s="895"/>
      <c r="AI86" s="895"/>
      <c r="AJ86" s="896"/>
      <c r="AK86" s="895"/>
      <c r="AL86" s="897"/>
      <c r="AM86" s="439"/>
    </row>
    <row r="87" spans="1:39" ht="18">
      <c r="A87" s="836" t="s">
        <v>622</v>
      </c>
      <c r="B87" s="440" t="s">
        <v>634</v>
      </c>
      <c r="C87" s="906"/>
      <c r="D87" s="910"/>
      <c r="E87" s="898">
        <f>SUM(E88:E105)</f>
        <v>1376543.60756</v>
      </c>
      <c r="F87" s="898">
        <f>SUM(F88:F105)</f>
        <v>53396.55224</v>
      </c>
      <c r="G87" s="898">
        <f>SUM(G88:G105)</f>
        <v>34455.21889</v>
      </c>
      <c r="H87" s="898">
        <f>SUM(H88:H105)</f>
        <v>1464395.37869</v>
      </c>
      <c r="I87" s="871">
        <f>SUM(I88:I105)</f>
        <v>1</v>
      </c>
      <c r="J87" s="906"/>
      <c r="K87" s="910"/>
      <c r="L87" s="915"/>
      <c r="M87" s="915"/>
      <c r="N87" s="906"/>
      <c r="O87" s="885"/>
      <c r="P87" s="910"/>
      <c r="Q87" s="910"/>
      <c r="R87" s="910"/>
      <c r="S87" s="910"/>
      <c r="T87" s="910"/>
      <c r="U87" s="910"/>
      <c r="V87" s="910"/>
      <c r="W87" s="910"/>
      <c r="X87" s="906"/>
      <c r="Y87" s="910"/>
      <c r="Z87" s="906"/>
      <c r="AA87" s="910"/>
      <c r="AB87" s="906"/>
      <c r="AC87" s="910"/>
      <c r="AD87" s="909"/>
      <c r="AE87" s="910"/>
      <c r="AF87" s="909"/>
      <c r="AG87" s="910"/>
      <c r="AH87" s="909"/>
      <c r="AI87" s="910"/>
      <c r="AJ87" s="906"/>
      <c r="AK87" s="910"/>
      <c r="AL87" s="916"/>
      <c r="AM87" s="426"/>
    </row>
    <row r="88" spans="1:39" ht="11.25" customHeight="1">
      <c r="A88" s="441" t="s">
        <v>376</v>
      </c>
      <c r="B88" s="875" t="s">
        <v>371</v>
      </c>
      <c r="C88" s="917"/>
      <c r="D88" s="885"/>
      <c r="E88" s="898">
        <v>7328.98</v>
      </c>
      <c r="F88" s="898">
        <v>728.7787</v>
      </c>
      <c r="G88" s="898"/>
      <c r="H88" s="898">
        <f aca="true" t="shared" si="39" ref="H88:H105">SUM(E88:G88)</f>
        <v>8057.758699999999</v>
      </c>
      <c r="I88" s="871">
        <f>H88/$H$87</f>
        <v>0.00550244750649801</v>
      </c>
      <c r="J88" s="917"/>
      <c r="K88" s="885"/>
      <c r="L88" s="915"/>
      <c r="M88" s="915"/>
      <c r="N88" s="918"/>
      <c r="O88" s="885"/>
      <c r="P88" s="885"/>
      <c r="Q88" s="885"/>
      <c r="R88" s="885"/>
      <c r="S88" s="885"/>
      <c r="T88" s="885"/>
      <c r="U88" s="885"/>
      <c r="V88" s="885"/>
      <c r="W88" s="885"/>
      <c r="X88" s="906"/>
      <c r="Y88" s="885"/>
      <c r="Z88" s="906"/>
      <c r="AA88" s="885"/>
      <c r="AB88" s="906"/>
      <c r="AC88" s="885"/>
      <c r="AD88" s="909"/>
      <c r="AE88" s="885"/>
      <c r="AF88" s="909"/>
      <c r="AG88" s="885"/>
      <c r="AH88" s="909"/>
      <c r="AI88" s="885"/>
      <c r="AJ88" s="906"/>
      <c r="AK88" s="885"/>
      <c r="AL88" s="916"/>
      <c r="AM88" s="426"/>
    </row>
    <row r="89" spans="1:39" ht="11.25" customHeight="1">
      <c r="A89" s="438" t="s">
        <v>377</v>
      </c>
      <c r="B89" s="870" t="s">
        <v>68</v>
      </c>
      <c r="C89" s="917"/>
      <c r="D89" s="885"/>
      <c r="E89" s="898">
        <v>24345.753</v>
      </c>
      <c r="F89" s="898">
        <v>92.46656</v>
      </c>
      <c r="G89" s="898"/>
      <c r="H89" s="898">
        <f t="shared" si="39"/>
        <v>24438.21956</v>
      </c>
      <c r="I89" s="871">
        <f aca="true" t="shared" si="40" ref="I89:I105">H89/$H$87</f>
        <v>0.016688265966710185</v>
      </c>
      <c r="J89" s="917"/>
      <c r="K89" s="885"/>
      <c r="L89" s="915"/>
      <c r="M89" s="915"/>
      <c r="N89" s="918"/>
      <c r="O89" s="885"/>
      <c r="P89" s="885"/>
      <c r="Q89" s="885"/>
      <c r="R89" s="885"/>
      <c r="S89" s="885"/>
      <c r="T89" s="885"/>
      <c r="U89" s="885"/>
      <c r="V89" s="885"/>
      <c r="W89" s="885"/>
      <c r="X89" s="906"/>
      <c r="Y89" s="885"/>
      <c r="Z89" s="906"/>
      <c r="AA89" s="885"/>
      <c r="AB89" s="906"/>
      <c r="AC89" s="885"/>
      <c r="AD89" s="909"/>
      <c r="AE89" s="885"/>
      <c r="AF89" s="909"/>
      <c r="AG89" s="885"/>
      <c r="AH89" s="909"/>
      <c r="AI89" s="885"/>
      <c r="AJ89" s="906"/>
      <c r="AK89" s="885"/>
      <c r="AL89" s="916"/>
      <c r="AM89" s="426"/>
    </row>
    <row r="90" spans="1:39" ht="11.25" customHeight="1">
      <c r="A90" s="438" t="s">
        <v>378</v>
      </c>
      <c r="B90" s="870" t="s">
        <v>372</v>
      </c>
      <c r="C90" s="917"/>
      <c r="D90" s="885"/>
      <c r="E90" s="898">
        <v>4447</v>
      </c>
      <c r="F90" s="898">
        <v>631.52628</v>
      </c>
      <c r="G90" s="898"/>
      <c r="H90" s="898">
        <f t="shared" si="39"/>
        <v>5078.52628</v>
      </c>
      <c r="I90" s="871">
        <f t="shared" si="40"/>
        <v>0.0034680021214919996</v>
      </c>
      <c r="J90" s="917"/>
      <c r="K90" s="885"/>
      <c r="L90" s="915"/>
      <c r="M90" s="915"/>
      <c r="N90" s="918"/>
      <c r="O90" s="885"/>
      <c r="P90" s="885"/>
      <c r="Q90" s="885"/>
      <c r="R90" s="885"/>
      <c r="S90" s="885"/>
      <c r="T90" s="885"/>
      <c r="U90" s="885"/>
      <c r="V90" s="885"/>
      <c r="W90" s="885"/>
      <c r="X90" s="906"/>
      <c r="Y90" s="885"/>
      <c r="Z90" s="906"/>
      <c r="AA90" s="885"/>
      <c r="AB90" s="906"/>
      <c r="AC90" s="885"/>
      <c r="AD90" s="909"/>
      <c r="AE90" s="885"/>
      <c r="AF90" s="909"/>
      <c r="AG90" s="885"/>
      <c r="AH90" s="909"/>
      <c r="AI90" s="885"/>
      <c r="AJ90" s="906"/>
      <c r="AK90" s="885"/>
      <c r="AL90" s="916"/>
      <c r="AM90" s="426"/>
    </row>
    <row r="91" spans="1:39" ht="11.25" customHeight="1">
      <c r="A91" s="438" t="s">
        <v>379</v>
      </c>
      <c r="B91" s="870" t="s">
        <v>42</v>
      </c>
      <c r="C91" s="917"/>
      <c r="D91" s="885"/>
      <c r="E91" s="898">
        <v>10019.464639999995</v>
      </c>
      <c r="F91" s="898">
        <v>9443.72965</v>
      </c>
      <c r="G91" s="898"/>
      <c r="H91" s="898">
        <f t="shared" si="39"/>
        <v>19463.194289999992</v>
      </c>
      <c r="I91" s="871">
        <f t="shared" si="40"/>
        <v>0.013290942168508567</v>
      </c>
      <c r="J91" s="917"/>
      <c r="K91" s="885"/>
      <c r="L91" s="915"/>
      <c r="M91" s="915"/>
      <c r="N91" s="918"/>
      <c r="O91" s="885"/>
      <c r="P91" s="885"/>
      <c r="Q91" s="885"/>
      <c r="R91" s="885"/>
      <c r="S91" s="885"/>
      <c r="T91" s="885"/>
      <c r="U91" s="885"/>
      <c r="V91" s="885"/>
      <c r="W91" s="885"/>
      <c r="X91" s="906"/>
      <c r="Y91" s="885"/>
      <c r="Z91" s="906"/>
      <c r="AA91" s="885"/>
      <c r="AB91" s="906"/>
      <c r="AC91" s="885"/>
      <c r="AD91" s="909"/>
      <c r="AE91" s="885"/>
      <c r="AF91" s="909"/>
      <c r="AG91" s="885"/>
      <c r="AH91" s="909"/>
      <c r="AI91" s="885"/>
      <c r="AJ91" s="906"/>
      <c r="AK91" s="885"/>
      <c r="AL91" s="916"/>
      <c r="AM91" s="426"/>
    </row>
    <row r="92" spans="1:39" ht="11.25" customHeight="1">
      <c r="A92" s="438" t="s">
        <v>380</v>
      </c>
      <c r="B92" s="870" t="s">
        <v>8</v>
      </c>
      <c r="C92" s="917"/>
      <c r="D92" s="885"/>
      <c r="E92" s="898">
        <v>167706.42115</v>
      </c>
      <c r="F92" s="898">
        <v>6584.85496</v>
      </c>
      <c r="G92" s="898">
        <v>8738.31366</v>
      </c>
      <c r="H92" s="898">
        <f t="shared" si="39"/>
        <v>183029.58977000002</v>
      </c>
      <c r="I92" s="871">
        <f t="shared" si="40"/>
        <v>0.12498645682270064</v>
      </c>
      <c r="J92" s="917"/>
      <c r="K92" s="885"/>
      <c r="L92" s="915"/>
      <c r="M92" s="915"/>
      <c r="N92" s="918"/>
      <c r="O92" s="885"/>
      <c r="P92" s="885"/>
      <c r="Q92" s="885"/>
      <c r="R92" s="885"/>
      <c r="S92" s="885"/>
      <c r="T92" s="885"/>
      <c r="U92" s="885"/>
      <c r="V92" s="885"/>
      <c r="W92" s="885"/>
      <c r="X92" s="906"/>
      <c r="Y92" s="885"/>
      <c r="Z92" s="906"/>
      <c r="AA92" s="885"/>
      <c r="AB92" s="906"/>
      <c r="AC92" s="885"/>
      <c r="AD92" s="909"/>
      <c r="AE92" s="885"/>
      <c r="AF92" s="909"/>
      <c r="AG92" s="885"/>
      <c r="AH92" s="909"/>
      <c r="AI92" s="885"/>
      <c r="AJ92" s="906"/>
      <c r="AK92" s="885"/>
      <c r="AL92" s="916"/>
      <c r="AM92" s="426"/>
    </row>
    <row r="93" spans="1:39" ht="11.25" customHeight="1">
      <c r="A93" s="438" t="s">
        <v>381</v>
      </c>
      <c r="B93" s="870" t="s">
        <v>22</v>
      </c>
      <c r="C93" s="917"/>
      <c r="D93" s="885"/>
      <c r="E93" s="898">
        <v>94072.03758999999</v>
      </c>
      <c r="F93" s="898">
        <v>1228.9486</v>
      </c>
      <c r="G93" s="898">
        <v>2059.28403</v>
      </c>
      <c r="H93" s="898">
        <f t="shared" si="39"/>
        <v>97360.27021999999</v>
      </c>
      <c r="I93" s="871">
        <f t="shared" si="40"/>
        <v>0.06648496139553192</v>
      </c>
      <c r="J93" s="917"/>
      <c r="K93" s="885"/>
      <c r="L93" s="915"/>
      <c r="M93" s="915"/>
      <c r="N93" s="918"/>
      <c r="O93" s="885"/>
      <c r="P93" s="885"/>
      <c r="Q93" s="885"/>
      <c r="R93" s="885"/>
      <c r="S93" s="885"/>
      <c r="T93" s="885"/>
      <c r="U93" s="885"/>
      <c r="V93" s="885"/>
      <c r="W93" s="885"/>
      <c r="X93" s="906"/>
      <c r="Y93" s="885"/>
      <c r="Z93" s="906"/>
      <c r="AA93" s="885"/>
      <c r="AB93" s="906"/>
      <c r="AC93" s="885"/>
      <c r="AD93" s="909"/>
      <c r="AE93" s="885"/>
      <c r="AF93" s="909"/>
      <c r="AG93" s="885"/>
      <c r="AH93" s="909"/>
      <c r="AI93" s="885"/>
      <c r="AJ93" s="906"/>
      <c r="AK93" s="885"/>
      <c r="AL93" s="916"/>
      <c r="AM93" s="426"/>
    </row>
    <row r="94" spans="1:39" ht="11.25" customHeight="1">
      <c r="A94" s="438" t="s">
        <v>382</v>
      </c>
      <c r="B94" s="870" t="s">
        <v>21</v>
      </c>
      <c r="C94" s="917"/>
      <c r="D94" s="885"/>
      <c r="E94" s="898">
        <v>56543.485</v>
      </c>
      <c r="F94" s="898">
        <v>599.78088</v>
      </c>
      <c r="G94" s="898"/>
      <c r="H94" s="898">
        <f t="shared" si="39"/>
        <v>57143.26588</v>
      </c>
      <c r="I94" s="871">
        <f t="shared" si="40"/>
        <v>0.039021746934983156</v>
      </c>
      <c r="J94" s="917"/>
      <c r="K94" s="885"/>
      <c r="L94" s="915"/>
      <c r="M94" s="915"/>
      <c r="N94" s="918"/>
      <c r="O94" s="885"/>
      <c r="P94" s="885"/>
      <c r="Q94" s="885"/>
      <c r="R94" s="885"/>
      <c r="S94" s="885"/>
      <c r="T94" s="885"/>
      <c r="U94" s="885"/>
      <c r="V94" s="885"/>
      <c r="W94" s="885"/>
      <c r="X94" s="906"/>
      <c r="Y94" s="885"/>
      <c r="Z94" s="906"/>
      <c r="AA94" s="885"/>
      <c r="AB94" s="906"/>
      <c r="AC94" s="885"/>
      <c r="AD94" s="909"/>
      <c r="AE94" s="885"/>
      <c r="AF94" s="909"/>
      <c r="AG94" s="885"/>
      <c r="AH94" s="909"/>
      <c r="AI94" s="885"/>
      <c r="AJ94" s="906"/>
      <c r="AK94" s="885"/>
      <c r="AL94" s="916"/>
      <c r="AM94" s="426"/>
    </row>
    <row r="95" spans="1:39" ht="11.25" customHeight="1">
      <c r="A95" s="438" t="s">
        <v>383</v>
      </c>
      <c r="B95" s="870" t="s">
        <v>23</v>
      </c>
      <c r="C95" s="917"/>
      <c r="D95" s="885"/>
      <c r="E95" s="898">
        <v>18528</v>
      </c>
      <c r="F95" s="898">
        <v>3751.66667</v>
      </c>
      <c r="G95" s="898">
        <v>7275.34566</v>
      </c>
      <c r="H95" s="898">
        <f t="shared" si="39"/>
        <v>29555.012329999998</v>
      </c>
      <c r="I95" s="871">
        <f t="shared" si="40"/>
        <v>0.020182399343843152</v>
      </c>
      <c r="J95" s="917"/>
      <c r="K95" s="885"/>
      <c r="L95" s="915"/>
      <c r="M95" s="915"/>
      <c r="N95" s="918"/>
      <c r="O95" s="885"/>
      <c r="P95" s="885"/>
      <c r="Q95" s="885"/>
      <c r="R95" s="885"/>
      <c r="S95" s="885"/>
      <c r="T95" s="885"/>
      <c r="U95" s="885"/>
      <c r="V95" s="885"/>
      <c r="W95" s="885"/>
      <c r="X95" s="906"/>
      <c r="Y95" s="885"/>
      <c r="Z95" s="906"/>
      <c r="AA95" s="885"/>
      <c r="AB95" s="906"/>
      <c r="AC95" s="885"/>
      <c r="AD95" s="909"/>
      <c r="AE95" s="885"/>
      <c r="AF95" s="909"/>
      <c r="AG95" s="885"/>
      <c r="AH95" s="909"/>
      <c r="AI95" s="885"/>
      <c r="AJ95" s="906"/>
      <c r="AK95" s="885"/>
      <c r="AL95" s="916"/>
      <c r="AM95" s="426"/>
    </row>
    <row r="96" spans="1:39" ht="11.25" customHeight="1">
      <c r="A96" s="438" t="s">
        <v>384</v>
      </c>
      <c r="B96" s="870" t="s">
        <v>24</v>
      </c>
      <c r="C96" s="917"/>
      <c r="D96" s="885"/>
      <c r="E96" s="898">
        <v>12444</v>
      </c>
      <c r="F96" s="898"/>
      <c r="G96" s="898"/>
      <c r="H96" s="898">
        <f t="shared" si="39"/>
        <v>12444</v>
      </c>
      <c r="I96" s="871">
        <f t="shared" si="40"/>
        <v>0.008497705046796852</v>
      </c>
      <c r="J96" s="917"/>
      <c r="K96" s="885"/>
      <c r="L96" s="915"/>
      <c r="M96" s="915"/>
      <c r="N96" s="918"/>
      <c r="O96" s="885"/>
      <c r="P96" s="885"/>
      <c r="Q96" s="885"/>
      <c r="R96" s="885"/>
      <c r="S96" s="885"/>
      <c r="T96" s="885"/>
      <c r="U96" s="885"/>
      <c r="V96" s="885"/>
      <c r="W96" s="885"/>
      <c r="X96" s="906"/>
      <c r="Y96" s="885"/>
      <c r="Z96" s="906"/>
      <c r="AA96" s="885"/>
      <c r="AB96" s="906"/>
      <c r="AC96" s="885"/>
      <c r="AD96" s="909"/>
      <c r="AE96" s="885"/>
      <c r="AF96" s="909"/>
      <c r="AG96" s="885"/>
      <c r="AH96" s="909"/>
      <c r="AI96" s="885"/>
      <c r="AJ96" s="906"/>
      <c r="AK96" s="885"/>
      <c r="AL96" s="916"/>
      <c r="AM96" s="426"/>
    </row>
    <row r="97" spans="1:39" ht="11.25" customHeight="1">
      <c r="A97" s="438" t="s">
        <v>385</v>
      </c>
      <c r="B97" s="870" t="s">
        <v>31</v>
      </c>
      <c r="C97" s="917"/>
      <c r="D97" s="885"/>
      <c r="E97" s="898">
        <v>50954.99999999999</v>
      </c>
      <c r="F97" s="898">
        <v>597.57957</v>
      </c>
      <c r="G97" s="898">
        <v>932.1867100000001</v>
      </c>
      <c r="H97" s="898">
        <f t="shared" si="39"/>
        <v>52484.766279999996</v>
      </c>
      <c r="I97" s="871">
        <f t="shared" si="40"/>
        <v>0.03584057082107917</v>
      </c>
      <c r="J97" s="917"/>
      <c r="K97" s="885"/>
      <c r="L97" s="915"/>
      <c r="M97" s="915"/>
      <c r="N97" s="918"/>
      <c r="O97" s="885"/>
      <c r="P97" s="885"/>
      <c r="Q97" s="885"/>
      <c r="R97" s="885"/>
      <c r="S97" s="885"/>
      <c r="T97" s="885"/>
      <c r="U97" s="885"/>
      <c r="V97" s="885"/>
      <c r="W97" s="885"/>
      <c r="X97" s="906"/>
      <c r="Y97" s="885"/>
      <c r="Z97" s="906"/>
      <c r="AA97" s="885"/>
      <c r="AB97" s="906"/>
      <c r="AC97" s="885"/>
      <c r="AD97" s="909"/>
      <c r="AE97" s="885"/>
      <c r="AF97" s="909"/>
      <c r="AG97" s="885"/>
      <c r="AH97" s="909"/>
      <c r="AI97" s="885"/>
      <c r="AJ97" s="906"/>
      <c r="AK97" s="885"/>
      <c r="AL97" s="916"/>
      <c r="AM97" s="426"/>
    </row>
    <row r="98" spans="1:39" ht="11.25" customHeight="1">
      <c r="A98" s="438" t="s">
        <v>386</v>
      </c>
      <c r="B98" s="870" t="s">
        <v>37</v>
      </c>
      <c r="C98" s="917"/>
      <c r="D98" s="885"/>
      <c r="E98" s="898">
        <v>99658.30350000001</v>
      </c>
      <c r="F98" s="898">
        <v>3603.33412</v>
      </c>
      <c r="G98" s="898">
        <v>80.64737</v>
      </c>
      <c r="H98" s="898">
        <f t="shared" si="39"/>
        <v>103342.28499000001</v>
      </c>
      <c r="I98" s="871">
        <f t="shared" si="40"/>
        <v>0.07056993384016728</v>
      </c>
      <c r="J98" s="917"/>
      <c r="K98" s="885"/>
      <c r="L98" s="915"/>
      <c r="M98" s="915"/>
      <c r="N98" s="918"/>
      <c r="O98" s="885"/>
      <c r="P98" s="885"/>
      <c r="Q98" s="885"/>
      <c r="R98" s="885"/>
      <c r="S98" s="885"/>
      <c r="T98" s="885"/>
      <c r="U98" s="885"/>
      <c r="V98" s="885"/>
      <c r="W98" s="885"/>
      <c r="X98" s="906"/>
      <c r="Y98" s="885"/>
      <c r="Z98" s="906"/>
      <c r="AA98" s="885"/>
      <c r="AB98" s="906"/>
      <c r="AC98" s="885"/>
      <c r="AD98" s="909"/>
      <c r="AE98" s="885"/>
      <c r="AF98" s="909"/>
      <c r="AG98" s="885"/>
      <c r="AH98" s="909"/>
      <c r="AI98" s="885"/>
      <c r="AJ98" s="906"/>
      <c r="AK98" s="885"/>
      <c r="AL98" s="916"/>
      <c r="AM98" s="426"/>
    </row>
    <row r="99" spans="1:39" ht="11.25" customHeight="1">
      <c r="A99" s="438" t="s">
        <v>387</v>
      </c>
      <c r="B99" s="870" t="s">
        <v>72</v>
      </c>
      <c r="C99" s="917"/>
      <c r="D99" s="885"/>
      <c r="E99" s="898">
        <v>364153.27209000004</v>
      </c>
      <c r="F99" s="898">
        <v>1555.47</v>
      </c>
      <c r="G99" s="898">
        <v>6587.7276</v>
      </c>
      <c r="H99" s="898">
        <f t="shared" si="39"/>
        <v>372296.46969</v>
      </c>
      <c r="I99" s="871">
        <f t="shared" si="40"/>
        <v>0.2542322074404825</v>
      </c>
      <c r="J99" s="917"/>
      <c r="K99" s="885"/>
      <c r="L99" s="915"/>
      <c r="M99" s="915"/>
      <c r="N99" s="918"/>
      <c r="O99" s="885"/>
      <c r="P99" s="885"/>
      <c r="Q99" s="885"/>
      <c r="R99" s="885"/>
      <c r="S99" s="885"/>
      <c r="T99" s="885"/>
      <c r="U99" s="885"/>
      <c r="V99" s="885"/>
      <c r="W99" s="885"/>
      <c r="X99" s="906"/>
      <c r="Y99" s="885"/>
      <c r="Z99" s="906"/>
      <c r="AA99" s="885"/>
      <c r="AB99" s="906"/>
      <c r="AC99" s="885"/>
      <c r="AD99" s="909"/>
      <c r="AE99" s="885"/>
      <c r="AF99" s="909"/>
      <c r="AG99" s="885"/>
      <c r="AH99" s="909"/>
      <c r="AI99" s="885"/>
      <c r="AJ99" s="906"/>
      <c r="AK99" s="885"/>
      <c r="AL99" s="916"/>
      <c r="AM99" s="426"/>
    </row>
    <row r="100" spans="1:39" ht="11.25" customHeight="1">
      <c r="A100" s="438" t="s">
        <v>388</v>
      </c>
      <c r="B100" s="870" t="s">
        <v>81</v>
      </c>
      <c r="C100" s="917"/>
      <c r="D100" s="885"/>
      <c r="E100" s="898">
        <v>367568.93214999995</v>
      </c>
      <c r="F100" s="898">
        <v>1053.47223</v>
      </c>
      <c r="G100" s="898">
        <v>6930.880300000001</v>
      </c>
      <c r="H100" s="898">
        <f t="shared" si="39"/>
        <v>375553.28468</v>
      </c>
      <c r="I100" s="871">
        <f t="shared" si="40"/>
        <v>0.2564562072136267</v>
      </c>
      <c r="J100" s="917"/>
      <c r="K100" s="885"/>
      <c r="L100" s="915"/>
      <c r="M100" s="915"/>
      <c r="N100" s="918"/>
      <c r="O100" s="885"/>
      <c r="P100" s="885"/>
      <c r="Q100" s="885"/>
      <c r="R100" s="885"/>
      <c r="S100" s="885"/>
      <c r="T100" s="885"/>
      <c r="U100" s="885"/>
      <c r="V100" s="885"/>
      <c r="W100" s="885"/>
      <c r="X100" s="906"/>
      <c r="Y100" s="885"/>
      <c r="Z100" s="906"/>
      <c r="AA100" s="885"/>
      <c r="AB100" s="906"/>
      <c r="AC100" s="885"/>
      <c r="AD100" s="909"/>
      <c r="AE100" s="885"/>
      <c r="AF100" s="909"/>
      <c r="AG100" s="885"/>
      <c r="AH100" s="909"/>
      <c r="AI100" s="885"/>
      <c r="AJ100" s="906"/>
      <c r="AK100" s="885"/>
      <c r="AL100" s="916"/>
      <c r="AM100" s="426"/>
    </row>
    <row r="101" spans="1:39" ht="11.25" customHeight="1">
      <c r="A101" s="438" t="s">
        <v>389</v>
      </c>
      <c r="B101" s="870" t="s">
        <v>87</v>
      </c>
      <c r="C101" s="917"/>
      <c r="D101" s="885"/>
      <c r="E101" s="898">
        <v>14106.000999999997</v>
      </c>
      <c r="F101" s="898">
        <v>12234.126</v>
      </c>
      <c r="G101" s="898"/>
      <c r="H101" s="898">
        <f t="shared" si="39"/>
        <v>26340.126999999997</v>
      </c>
      <c r="I101" s="871">
        <f t="shared" si="40"/>
        <v>0.01798703231606959</v>
      </c>
      <c r="J101" s="917"/>
      <c r="K101" s="885"/>
      <c r="L101" s="915"/>
      <c r="M101" s="915"/>
      <c r="N101" s="918"/>
      <c r="O101" s="885"/>
      <c r="P101" s="885"/>
      <c r="Q101" s="885"/>
      <c r="R101" s="885"/>
      <c r="S101" s="885"/>
      <c r="T101" s="885"/>
      <c r="U101" s="885"/>
      <c r="V101" s="885"/>
      <c r="W101" s="885"/>
      <c r="X101" s="906"/>
      <c r="Y101" s="885"/>
      <c r="Z101" s="906"/>
      <c r="AA101" s="885"/>
      <c r="AB101" s="906"/>
      <c r="AC101" s="885"/>
      <c r="AD101" s="909"/>
      <c r="AE101" s="885"/>
      <c r="AF101" s="909"/>
      <c r="AG101" s="885"/>
      <c r="AH101" s="909"/>
      <c r="AI101" s="885"/>
      <c r="AJ101" s="906"/>
      <c r="AK101" s="885"/>
      <c r="AL101" s="916"/>
      <c r="AM101" s="426"/>
    </row>
    <row r="102" spans="1:39" ht="11.25" customHeight="1">
      <c r="A102" s="438" t="s">
        <v>390</v>
      </c>
      <c r="B102" s="870" t="s">
        <v>45</v>
      </c>
      <c r="C102" s="917"/>
      <c r="D102" s="885"/>
      <c r="E102" s="898">
        <v>55049.95744</v>
      </c>
      <c r="F102" s="898">
        <v>1912.65406</v>
      </c>
      <c r="G102" s="898"/>
      <c r="H102" s="898">
        <f t="shared" si="39"/>
        <v>56962.6115</v>
      </c>
      <c r="I102" s="871">
        <f t="shared" si="40"/>
        <v>0.038898382451163484</v>
      </c>
      <c r="J102" s="917"/>
      <c r="K102" s="885"/>
      <c r="L102" s="915"/>
      <c r="M102" s="915"/>
      <c r="N102" s="918"/>
      <c r="O102" s="885"/>
      <c r="P102" s="885"/>
      <c r="Q102" s="885"/>
      <c r="R102" s="885"/>
      <c r="S102" s="885"/>
      <c r="T102" s="885"/>
      <c r="U102" s="885"/>
      <c r="V102" s="885"/>
      <c r="W102" s="885"/>
      <c r="X102" s="906"/>
      <c r="Y102" s="885"/>
      <c r="Z102" s="906"/>
      <c r="AA102" s="885"/>
      <c r="AB102" s="906"/>
      <c r="AC102" s="885"/>
      <c r="AD102" s="909"/>
      <c r="AE102" s="885"/>
      <c r="AF102" s="909"/>
      <c r="AG102" s="885"/>
      <c r="AH102" s="909"/>
      <c r="AI102" s="885"/>
      <c r="AJ102" s="906"/>
      <c r="AK102" s="885"/>
      <c r="AL102" s="916"/>
      <c r="AM102" s="426"/>
    </row>
    <row r="103" spans="1:39" ht="11.25" customHeight="1">
      <c r="A103" s="438" t="s">
        <v>391</v>
      </c>
      <c r="B103" s="870" t="s">
        <v>94</v>
      </c>
      <c r="C103" s="917"/>
      <c r="D103" s="885"/>
      <c r="E103" s="898">
        <v>5496.999999999998</v>
      </c>
      <c r="F103" s="898">
        <v>7977.30599</v>
      </c>
      <c r="G103" s="898">
        <v>1434.50226</v>
      </c>
      <c r="H103" s="898">
        <f t="shared" si="39"/>
        <v>14908.808249999996</v>
      </c>
      <c r="I103" s="871">
        <f t="shared" si="40"/>
        <v>0.01018086267339694</v>
      </c>
      <c r="J103" s="917"/>
      <c r="K103" s="885"/>
      <c r="L103" s="915"/>
      <c r="M103" s="915"/>
      <c r="N103" s="918"/>
      <c r="O103" s="885"/>
      <c r="P103" s="885"/>
      <c r="Q103" s="885"/>
      <c r="R103" s="885"/>
      <c r="S103" s="885"/>
      <c r="T103" s="885"/>
      <c r="U103" s="885"/>
      <c r="V103" s="885"/>
      <c r="W103" s="885"/>
      <c r="X103" s="906"/>
      <c r="Y103" s="885"/>
      <c r="Z103" s="906"/>
      <c r="AA103" s="885"/>
      <c r="AB103" s="906"/>
      <c r="AC103" s="885"/>
      <c r="AD103" s="909"/>
      <c r="AE103" s="885"/>
      <c r="AF103" s="909"/>
      <c r="AG103" s="885"/>
      <c r="AH103" s="909"/>
      <c r="AI103" s="885"/>
      <c r="AJ103" s="906"/>
      <c r="AK103" s="885"/>
      <c r="AL103" s="916"/>
      <c r="AM103" s="426"/>
    </row>
    <row r="104" spans="1:39" ht="11.25" customHeight="1">
      <c r="A104" s="438" t="s">
        <v>392</v>
      </c>
      <c r="B104" s="870" t="s">
        <v>58</v>
      </c>
      <c r="C104" s="917"/>
      <c r="D104" s="885"/>
      <c r="E104" s="898">
        <v>15709</v>
      </c>
      <c r="F104" s="898">
        <v>1400.85797</v>
      </c>
      <c r="G104" s="898"/>
      <c r="H104" s="898">
        <f t="shared" si="39"/>
        <v>17109.85797</v>
      </c>
      <c r="I104" s="871">
        <f t="shared" si="40"/>
        <v>0.011683906012668463</v>
      </c>
      <c r="J104" s="917"/>
      <c r="K104" s="885"/>
      <c r="L104" s="915"/>
      <c r="M104" s="915"/>
      <c r="N104" s="918"/>
      <c r="O104" s="885"/>
      <c r="P104" s="885"/>
      <c r="Q104" s="885"/>
      <c r="R104" s="885"/>
      <c r="S104" s="885"/>
      <c r="T104" s="885"/>
      <c r="U104" s="885"/>
      <c r="V104" s="885"/>
      <c r="W104" s="885"/>
      <c r="X104" s="906"/>
      <c r="Y104" s="885"/>
      <c r="Z104" s="906"/>
      <c r="AA104" s="885"/>
      <c r="AB104" s="906"/>
      <c r="AC104" s="885"/>
      <c r="AD104" s="909"/>
      <c r="AE104" s="885"/>
      <c r="AF104" s="909"/>
      <c r="AG104" s="885"/>
      <c r="AH104" s="909"/>
      <c r="AI104" s="885"/>
      <c r="AJ104" s="906"/>
      <c r="AK104" s="885"/>
      <c r="AL104" s="916"/>
      <c r="AM104" s="426"/>
    </row>
    <row r="105" spans="1:39" ht="11.25" customHeight="1" thickBot="1">
      <c r="A105" s="558" t="s">
        <v>393</v>
      </c>
      <c r="B105" s="877" t="s">
        <v>373</v>
      </c>
      <c r="C105" s="917"/>
      <c r="D105" s="885"/>
      <c r="E105" s="898">
        <v>8411</v>
      </c>
      <c r="F105" s="898"/>
      <c r="G105" s="898">
        <v>416.33130000000006</v>
      </c>
      <c r="H105" s="898">
        <f t="shared" si="39"/>
        <v>8827.3313</v>
      </c>
      <c r="I105" s="871">
        <f t="shared" si="40"/>
        <v>0.006027969924281406</v>
      </c>
      <c r="J105" s="917"/>
      <c r="K105" s="885"/>
      <c r="L105" s="915"/>
      <c r="M105" s="915"/>
      <c r="N105" s="918"/>
      <c r="O105" s="885"/>
      <c r="P105" s="885"/>
      <c r="Q105" s="885"/>
      <c r="R105" s="885"/>
      <c r="S105" s="885"/>
      <c r="T105" s="885"/>
      <c r="U105" s="885"/>
      <c r="V105" s="885"/>
      <c r="W105" s="885"/>
      <c r="X105" s="906"/>
      <c r="Y105" s="885"/>
      <c r="Z105" s="906"/>
      <c r="AA105" s="885"/>
      <c r="AB105" s="906"/>
      <c r="AC105" s="885"/>
      <c r="AD105" s="909"/>
      <c r="AE105" s="885"/>
      <c r="AF105" s="909"/>
      <c r="AG105" s="885"/>
      <c r="AH105" s="909"/>
      <c r="AI105" s="885"/>
      <c r="AJ105" s="906"/>
      <c r="AK105" s="885"/>
      <c r="AL105" s="916"/>
      <c r="AM105" s="426"/>
    </row>
    <row r="106" spans="26:38" s="426" customFormat="1" ht="11.25" customHeight="1"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474"/>
      <c r="AL106" s="474"/>
    </row>
    <row r="107" spans="26:38" s="426" customFormat="1" ht="11.25" customHeight="1"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4"/>
      <c r="AL107" s="474"/>
    </row>
    <row r="108" spans="2:38" s="426" customFormat="1" ht="11.25" customHeight="1">
      <c r="B108" s="1138" t="s">
        <v>765</v>
      </c>
      <c r="C108" s="1139"/>
      <c r="D108" s="1139"/>
      <c r="E108" s="1140">
        <f>SUM(E87:H105,E67:H85,L67:N85,E47:H65,J47:J65,L47:N65)</f>
        <v>18372570.017009985</v>
      </c>
      <c r="Z108" s="474"/>
      <c r="AA108" s="474"/>
      <c r="AB108" s="474"/>
      <c r="AC108" s="474"/>
      <c r="AD108" s="474"/>
      <c r="AE108" s="474"/>
      <c r="AF108" s="1049">
        <f>SUM(AF67:AF85,AH67:AH85,AF47:AF65,AH47:AH65)</f>
        <v>2982716</v>
      </c>
      <c r="AG108" s="912" t="s">
        <v>764</v>
      </c>
      <c r="AH108" s="474"/>
      <c r="AI108" s="474"/>
      <c r="AJ108" s="474"/>
      <c r="AK108" s="474"/>
      <c r="AL108" s="474"/>
    </row>
    <row r="109" spans="26:38" s="426" customFormat="1" ht="11.25" customHeight="1"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474"/>
    </row>
    <row r="110" spans="26:37" s="426" customFormat="1" ht="11.25" customHeight="1">
      <c r="Z110" s="474"/>
      <c r="AA110" s="474"/>
      <c r="AB110" s="474"/>
      <c r="AC110" s="474"/>
      <c r="AJ110" s="474"/>
      <c r="AK110" s="474"/>
    </row>
    <row r="111" spans="26:37" s="426" customFormat="1" ht="11.25" customHeight="1">
      <c r="Z111" s="474"/>
      <c r="AA111" s="474"/>
      <c r="AB111" s="474"/>
      <c r="AC111" s="474"/>
      <c r="AJ111" s="474"/>
      <c r="AK111" s="474"/>
    </row>
    <row r="112" spans="26:37" s="426" customFormat="1" ht="11.25" customHeight="1">
      <c r="Z112" s="474"/>
      <c r="AA112" s="474"/>
      <c r="AB112" s="474"/>
      <c r="AC112" s="474"/>
      <c r="AJ112" s="474"/>
      <c r="AK112" s="474"/>
    </row>
  </sheetData>
  <sheetProtection/>
  <mergeCells count="16">
    <mergeCell ref="AF4:AG4"/>
    <mergeCell ref="AB4:AC5"/>
    <mergeCell ref="AH4:AI4"/>
    <mergeCell ref="AM4:AM6"/>
    <mergeCell ref="AL4:AL5"/>
    <mergeCell ref="A6:B6"/>
    <mergeCell ref="AD4:AE5"/>
    <mergeCell ref="AJ4:AK5"/>
    <mergeCell ref="A7:B7"/>
    <mergeCell ref="P4:Y5"/>
    <mergeCell ref="Z4:AA5"/>
    <mergeCell ref="A4:B5"/>
    <mergeCell ref="E4:I5"/>
    <mergeCell ref="J4:K5"/>
    <mergeCell ref="L4:O4"/>
    <mergeCell ref="C4:D5"/>
  </mergeCells>
  <printOptions horizontalCentered="1"/>
  <pageMargins left="0" right="0" top="0.3937007874015748" bottom="0.3937007874015748" header="0.1968503937007874" footer="0.1968503937007874"/>
  <pageSetup fitToWidth="0" fitToHeight="1" horizontalDpi="600" verticalDpi="600" orientation="landscape" paperSize="8" scale="34" r:id="rId1"/>
  <headerFooter>
    <oddHeader>&amp;C&amp;28&amp;A</oddHeader>
    <oddFooter>&amp;C&amp;F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Šimůnek Petr</dc:creator>
  <cp:keywords/>
  <dc:description/>
  <cp:lastModifiedBy>Milan Prášil</cp:lastModifiedBy>
  <cp:lastPrinted>2020-03-24T17:16:19Z</cp:lastPrinted>
  <dcterms:created xsi:type="dcterms:W3CDTF">2016-04-15T06:52:55Z</dcterms:created>
  <dcterms:modified xsi:type="dcterms:W3CDTF">2020-04-09T09:05:32Z</dcterms:modified>
  <cp:category/>
  <cp:version/>
  <cp:contentType/>
  <cp:contentStatus/>
</cp:coreProperties>
</file>